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710" activeTab="2"/>
  </bookViews>
  <sheets>
    <sheet name="PL" sheetId="1" r:id="rId1"/>
    <sheet name="BS" sheetId="2" r:id="rId2"/>
    <sheet name="Note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Olympia Industries Berhad</author>
  </authors>
  <commentList>
    <comment ref="I19" authorId="0">
      <text>
        <r>
          <rPr>
            <sz val="8"/>
            <rFont val="Tahoma"/>
            <family val="0"/>
          </rPr>
          <t>As loss on sale of invt is not considered income added back to show zero</t>
        </r>
      </text>
    </comment>
  </commentList>
</comments>
</file>

<file path=xl/sharedStrings.xml><?xml version="1.0" encoding="utf-8"?>
<sst xmlns="http://schemas.openxmlformats.org/spreadsheetml/2006/main" count="267" uniqueCount="222">
  <si>
    <t>MYCOM BERHAD</t>
  </si>
  <si>
    <t>(Company No. 7296 V)</t>
  </si>
  <si>
    <t>(Incorporated in Malaysia)</t>
  </si>
  <si>
    <t xml:space="preserve">REPORT OF UNAUDITED RESULTS </t>
  </si>
  <si>
    <t>FOR THE QUARTER ENDED 30 SEPTEMBER 2001</t>
  </si>
  <si>
    <t>The Directors of Mycom Berhad hereby wish to announce the unaudited results of the Group for the first quarter ended  30 September 2001 as follows :</t>
  </si>
  <si>
    <t>INDIVIDUAL QUARTER</t>
  </si>
  <si>
    <t>CUMULATIVE QUARTER</t>
  </si>
  <si>
    <t>Preceding year</t>
  </si>
  <si>
    <t xml:space="preserve">Current </t>
  </si>
  <si>
    <t>corresponding</t>
  </si>
  <si>
    <t>Current year</t>
  </si>
  <si>
    <t>year quarter</t>
  </si>
  <si>
    <t>quarter</t>
  </si>
  <si>
    <t>to date</t>
  </si>
  <si>
    <t>period</t>
  </si>
  <si>
    <t>30 SEP 01</t>
  </si>
  <si>
    <t>30 SEP 00</t>
  </si>
  <si>
    <t>RM'000</t>
  </si>
  <si>
    <t>1</t>
  </si>
  <si>
    <t>(a)</t>
  </si>
  <si>
    <t>Revenue</t>
  </si>
  <si>
    <t>(b)</t>
  </si>
  <si>
    <t>Investment income</t>
  </si>
  <si>
    <t>(c)</t>
  </si>
  <si>
    <t xml:space="preserve">Other income </t>
  </si>
  <si>
    <t>2</t>
  </si>
  <si>
    <t>depreciation and amortisation,</t>
  </si>
  <si>
    <t>exceptional items, income tax, minority</t>
  </si>
  <si>
    <t>interests and extraordinary items</t>
  </si>
  <si>
    <t>Finance cost</t>
  </si>
  <si>
    <t>Depreciation and amortisation</t>
  </si>
  <si>
    <t>(d)</t>
  </si>
  <si>
    <t>Exceptional items</t>
  </si>
  <si>
    <t>(e)</t>
  </si>
  <si>
    <t>Profit / (loss) before income tax,</t>
  </si>
  <si>
    <t>(f)</t>
  </si>
  <si>
    <t>(g)</t>
  </si>
  <si>
    <t>Profit / (loss) before income tax, minority interests</t>
  </si>
  <si>
    <t>(h)</t>
  </si>
  <si>
    <t>Taxation</t>
  </si>
  <si>
    <t>(i)</t>
  </si>
  <si>
    <t>Profit / (loss) after income tax before deducting</t>
  </si>
  <si>
    <t>(ii)</t>
  </si>
  <si>
    <t>(j)</t>
  </si>
  <si>
    <t>Pre-acquisition profit / (loss)</t>
  </si>
  <si>
    <t>(k)</t>
  </si>
  <si>
    <t xml:space="preserve">Net profit / (loss) from ordinary activities </t>
  </si>
  <si>
    <t>attributable to members of the company</t>
  </si>
  <si>
    <t>(l)</t>
  </si>
  <si>
    <t>Extraordinary items</t>
  </si>
  <si>
    <t>(iii)</t>
  </si>
  <si>
    <t>Extraordinary items attributable to members</t>
  </si>
  <si>
    <t>of the company</t>
  </si>
  <si>
    <t>(m)</t>
  </si>
  <si>
    <t>Net profit / (loss) attributable to  members</t>
  </si>
  <si>
    <t>3</t>
  </si>
  <si>
    <t>Earnings per share based on 2(m) above after</t>
  </si>
  <si>
    <t xml:space="preserve">deducting any provision for preference </t>
  </si>
  <si>
    <t>dividends, if any :-</t>
  </si>
  <si>
    <t xml:space="preserve">Basic (based on 392,683,000 ordinary </t>
  </si>
  <si>
    <t>shares) (sen)</t>
  </si>
  <si>
    <t xml:space="preserve">Fully diluted </t>
  </si>
  <si>
    <t>N/A</t>
  </si>
  <si>
    <t>MYCOM BERHAD (7296-V)</t>
  </si>
  <si>
    <t>Unaudited Consolidated Balance Sheet as at 30 September 2001</t>
  </si>
  <si>
    <t>AS AT END OF</t>
  </si>
  <si>
    <t>AS AT PRECEDING</t>
  </si>
  <si>
    <t>CURRENT QUARTER</t>
  </si>
  <si>
    <t>FINANCIAL YEAR END</t>
  </si>
  <si>
    <t>30 JUNE 01</t>
  </si>
  <si>
    <t>1.</t>
  </si>
  <si>
    <t>Property, plant and equipment</t>
  </si>
  <si>
    <t>2.</t>
  </si>
  <si>
    <t>Investment property</t>
  </si>
  <si>
    <t>3.</t>
  </si>
  <si>
    <t>Investment in associated companies</t>
  </si>
  <si>
    <t>4.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</si>
  <si>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</si>
  <si>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</si>
  <si>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</si>
  <si>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</si>
  <si>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</si>
  <si>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</si>
  <si>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</si>
  <si>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</si>
  <si>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>Cash</t>
  </si>
  <si>
    <t>Development properties</t>
  </si>
  <si>
    <t>Other Debtors</t>
  </si>
  <si>
    <t>Current Liabilities</t>
  </si>
  <si>
    <t xml:space="preserve">Trade payables </t>
  </si>
  <si>
    <t>Other payables</t>
  </si>
  <si>
    <t>Short term borrowings</t>
  </si>
  <si>
    <t>Provision for taxation</t>
  </si>
  <si>
    <t>Proposed dividend</t>
  </si>
  <si>
    <t xml:space="preserve">Others 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</si>
  <si>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</si>
  <si>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</si>
  <si>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</si>
  <si>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</si>
  <si>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</si>
  <si>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</si>
  <si>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</si>
  <si>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</si>
  <si>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Other Reserve</t>
  </si>
  <si>
    <t>Accumulated losses</t>
  </si>
  <si>
    <t>Minority Interests</t>
  </si>
  <si>
    <t>Long term borrowings</t>
  </si>
  <si>
    <t>Other long term liabilities</t>
  </si>
  <si>
    <t>Deferred taxation</t>
  </si>
  <si>
    <t>Net tangible assets per share (RM)</t>
  </si>
  <si>
    <t>-</t>
  </si>
  <si>
    <t xml:space="preserve">Notes </t>
  </si>
  <si>
    <t>Accounting Policies</t>
  </si>
  <si>
    <t>The quarterly financial statements have been prepared based on accounting policies and methods of computation</t>
  </si>
  <si>
    <t>consistent with those adopted in the 2001 Annual Report.</t>
  </si>
  <si>
    <t>Exceptional Items</t>
  </si>
  <si>
    <t>The exceptional item of RM6,947,000 for the current quarter represents gain on disposal of investment in an associated</t>
  </si>
  <si>
    <t xml:space="preserve"> company.</t>
  </si>
  <si>
    <t>Extraordinary Items</t>
  </si>
  <si>
    <t>There were no extraordinary items for the current quarter and financial year-to-date.</t>
  </si>
  <si>
    <t>Taxation charge for the Group does not include any material deferred tax and/or adjustment for under or over provision in</t>
  </si>
  <si>
    <t>respect of prior years. The disproportionate taxation charge for the Group was mainly due to the absence of Group relief</t>
  </si>
  <si>
    <t>for losses sufferred by the Company and certain subsidiaries.</t>
  </si>
  <si>
    <t>Sale of Unquoted Investments and/or Properties</t>
  </si>
  <si>
    <t>There were no material sale of unquoted investments nor properties for the current quarter and financial year-to-date.</t>
  </si>
  <si>
    <t>Quoted Securities</t>
  </si>
  <si>
    <t>Particulars of  Quoted Securities :</t>
  </si>
  <si>
    <t>Current financial</t>
  </si>
  <si>
    <t>Current quarter</t>
  </si>
  <si>
    <t>year-to-date</t>
  </si>
  <si>
    <t xml:space="preserve">Purchases / disposal </t>
  </si>
  <si>
    <t>Total Purchases</t>
  </si>
  <si>
    <t>Total Sale Proceeds</t>
  </si>
  <si>
    <t xml:space="preserve"> </t>
  </si>
  <si>
    <t>Total gain/(Loss) on Disposal</t>
  </si>
  <si>
    <t>Balances as at 30 September 2001</t>
  </si>
  <si>
    <t>Total investments at cost</t>
  </si>
  <si>
    <t>Total investments at carrying value/book value (after</t>
  </si>
  <si>
    <t xml:space="preserve">   provision for diminution in value)</t>
  </si>
  <si>
    <t>Total investment at market value at end of reporting</t>
  </si>
  <si>
    <t xml:space="preserve">   period</t>
  </si>
  <si>
    <t>Changes in the Composition of the Group</t>
  </si>
  <si>
    <t>There were no material changes in the Composition of the Group for the current quarter and financial year-to-date.</t>
  </si>
  <si>
    <t>Status of Corporate Proposals</t>
  </si>
  <si>
    <t xml:space="preserve">The applications in respect of the revised Proposed Restructuring Scheme ("Revised Scheme") to the regulatory authorities </t>
  </si>
  <si>
    <t>including the Securities Commission (SC), have received approvals from the Foreign Investment Committee and Ministry</t>
  </si>
  <si>
    <t xml:space="preserve">of International Trade &amp; Industry. Meanwhile, following the SC's approval of the new valuation of certain lands proposed to </t>
  </si>
  <si>
    <t xml:space="preserve">be acquired by Mycom, an amended revised scheme to reflect SC's approved valuation and to address SC's queries on </t>
  </si>
  <si>
    <t>the Revised Scheme will be made to the SC soon.</t>
  </si>
  <si>
    <t>Changes in Share Capital</t>
  </si>
  <si>
    <t>The Group was not involved in any issuance and repayment of debt and equity securities, share buy-backs, share</t>
  </si>
  <si>
    <t>cancellations, shares held as treasury shares and resale of treasury shares for the current financial year-to-date.</t>
  </si>
  <si>
    <t>Group Borrowings</t>
  </si>
  <si>
    <t>As at 30 September 2001, the Group borrowings are as follows :</t>
  </si>
  <si>
    <t>Short term borrowings :</t>
  </si>
  <si>
    <t>*</t>
  </si>
  <si>
    <t xml:space="preserve">Secured </t>
  </si>
  <si>
    <t xml:space="preserve">Unsecured </t>
  </si>
  <si>
    <t>The Group has no long term borrowings.</t>
  </si>
  <si>
    <t>Included in the secured short term borrowings are foreign currency loans of USD53,284,000 and Rand30,556,000.</t>
  </si>
  <si>
    <t>Contingent Liabilities</t>
  </si>
  <si>
    <t>The contingent liabilities amount to RM96,983,000 at the date of this report. The above contingent liabilities are mainly</t>
  </si>
  <si>
    <t>related to corporate guarantee given to financial institutions in respect of facilities granted to an associated company.</t>
  </si>
  <si>
    <t>Off Balance Sheet Financial Instruments</t>
  </si>
  <si>
    <t>There were no financial instruments with off-balance sheet risk at the date of this report.</t>
  </si>
  <si>
    <t>Material Litigation</t>
  </si>
  <si>
    <t>The list of material litigation is attached as annexure 1.</t>
  </si>
  <si>
    <t>Segmental Reporting</t>
  </si>
  <si>
    <t>Segmental analysis for the current financial year-to-date  is as follows :</t>
  </si>
  <si>
    <t>Profit / (Loss)</t>
  </si>
  <si>
    <t xml:space="preserve">Total assets </t>
  </si>
  <si>
    <t>before taxation</t>
  </si>
  <si>
    <t>employed</t>
  </si>
  <si>
    <t>Analysis by activity</t>
  </si>
  <si>
    <t>Property development</t>
  </si>
  <si>
    <t>Plantation</t>
  </si>
  <si>
    <t>Granite quarry</t>
  </si>
  <si>
    <t>Manufacturing and trading</t>
  </si>
  <si>
    <t>Investment holding and</t>
  </si>
  <si>
    <t>others</t>
  </si>
  <si>
    <t>Analysis by geographical</t>
  </si>
  <si>
    <t>location</t>
  </si>
  <si>
    <t>Malaysia</t>
  </si>
  <si>
    <t>South Africa</t>
  </si>
  <si>
    <t>Material Changes in the Quarterly Results</t>
  </si>
  <si>
    <t xml:space="preserve">The loss before tax for the quarter narrowed to RM14.5 million compared to RM37.2 million in the previous quarter. The </t>
  </si>
  <si>
    <t>reduction was mainly due to exceptional gain of RM6.9 million and lower provision made in the current quarter.</t>
  </si>
  <si>
    <t>Review of Performance</t>
  </si>
  <si>
    <t>Revenue for the quarter was at RM71.7 millon as compared to RM79.8 million reported in the preceding  year</t>
  </si>
  <si>
    <t>corresponding period. The decline was mainly due to lower production and sale volumes recorded by the granite division.</t>
  </si>
  <si>
    <t>In tandem with the decline in revenue and coupled with lower exceptional gain realised for the quarter, the Group reported a</t>
  </si>
  <si>
    <t xml:space="preserve">loss before tax of RM14.5 million as compared to a profit before tax of RM25.5 million for the preceding year corresponding </t>
  </si>
  <si>
    <t>period.</t>
  </si>
  <si>
    <t>Subsequent events</t>
  </si>
  <si>
    <t>There is no significant event which has occurred between 30 September 2001 and the date of this report.</t>
  </si>
  <si>
    <t>Seasonal or Cyclical Factors</t>
  </si>
  <si>
    <t>The Group's business operations are not significantly affected by any seasonal and cyclical factors.</t>
  </si>
  <si>
    <t>19.</t>
  </si>
  <si>
    <t>Current Year Prospect</t>
  </si>
  <si>
    <t xml:space="preserve">Barring any unforeseen circumstances, and pending approvals of the proposed restructuring scheme and its implementation </t>
  </si>
  <si>
    <t>thereof, the Group's operating results are not expected to register any major changes for the remaining period of the current</t>
  </si>
  <si>
    <t>financial year.</t>
  </si>
  <si>
    <t>20.</t>
  </si>
  <si>
    <t>Variance from Profit Forecast</t>
  </si>
  <si>
    <t>Not applicable.</t>
  </si>
  <si>
    <t>21.</t>
  </si>
  <si>
    <t>Dividend</t>
  </si>
  <si>
    <t>No dividend has been recommended for the current financial year-to-date.</t>
  </si>
  <si>
    <t>On behalf of the Board</t>
  </si>
  <si>
    <t>Yap Siew Khim</t>
  </si>
  <si>
    <t>Company Secretary</t>
  </si>
  <si>
    <t>Kuala Lumpur</t>
  </si>
  <si>
    <t>29 November 2001</t>
  </si>
  <si>
    <t>Profit before finance cost,</t>
  </si>
  <si>
    <t>minority interests and extraordinary items</t>
  </si>
  <si>
    <t>Share of profits and losses of associated companies</t>
  </si>
  <si>
    <t xml:space="preserve">and extraordinary items after share of profits and </t>
  </si>
  <si>
    <t>losses of associated companies.</t>
  </si>
  <si>
    <t>Income tax</t>
  </si>
  <si>
    <t>minority interests</t>
  </si>
  <si>
    <t>Minority interests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</si>
</sst>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MS Sans Serif"/>
      <family val="0"/>
    </font>
    <font>
      <u val="singleAccounting"/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15" applyNumberFormat="1" applyFont="1" applyAlignment="1">
      <alignment/>
    </xf>
    <xf numFmtId="38" fontId="1" fillId="0" borderId="0" xfId="15" applyNumberFormat="1" applyFont="1" applyAlignment="1">
      <alignment horizontal="centerContinuous"/>
    </xf>
    <xf numFmtId="38" fontId="2" fillId="0" borderId="0" xfId="0" applyNumberFormat="1" applyFont="1" applyAlignment="1">
      <alignment/>
    </xf>
    <xf numFmtId="38" fontId="2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centerContinuous"/>
    </xf>
    <xf numFmtId="38" fontId="1" fillId="0" borderId="0" xfId="0" applyNumberFormat="1" applyFont="1" applyAlignment="1" quotePrefix="1">
      <alignment horizontal="left"/>
    </xf>
    <xf numFmtId="38" fontId="1" fillId="0" borderId="0" xfId="15" applyNumberFormat="1" applyFont="1" applyAlignment="1">
      <alignment/>
    </xf>
    <xf numFmtId="38" fontId="2" fillId="0" borderId="0" xfId="0" applyNumberFormat="1" applyFont="1" applyAlignment="1" quotePrefix="1">
      <alignment horizontal="left"/>
    </xf>
    <xf numFmtId="38" fontId="2" fillId="0" borderId="0" xfId="15" applyNumberFormat="1" applyFont="1" applyAlignment="1">
      <alignment horizontal="center"/>
    </xf>
    <xf numFmtId="38" fontId="2" fillId="0" borderId="0" xfId="15" applyNumberFormat="1" applyFont="1" applyBorder="1" applyAlignment="1">
      <alignment horizontal="center"/>
    </xf>
    <xf numFmtId="38" fontId="2" fillId="0" borderId="0" xfId="15" applyNumberFormat="1" applyFont="1" applyAlignment="1" quotePrefix="1">
      <alignment horizontal="center"/>
    </xf>
    <xf numFmtId="38" fontId="2" fillId="0" borderId="0" xfId="15" applyNumberFormat="1" applyFont="1" applyBorder="1" applyAlignment="1" quotePrefix="1">
      <alignment horizontal="center"/>
    </xf>
    <xf numFmtId="38" fontId="1" fillId="0" borderId="0" xfId="15" applyNumberFormat="1" applyFont="1" applyBorder="1" applyAlignment="1">
      <alignment/>
    </xf>
    <xf numFmtId="38" fontId="1" fillId="0" borderId="1" xfId="15" applyNumberFormat="1" applyFont="1" applyBorder="1" applyAlignment="1">
      <alignment/>
    </xf>
    <xf numFmtId="38" fontId="1" fillId="0" borderId="1" xfId="15" applyNumberFormat="1" applyFont="1" applyBorder="1" applyAlignment="1" quotePrefix="1">
      <alignment/>
    </xf>
    <xf numFmtId="38" fontId="1" fillId="0" borderId="0" xfId="15" applyNumberFormat="1" applyFont="1" applyAlignment="1" quotePrefix="1">
      <alignment/>
    </xf>
    <xf numFmtId="38" fontId="1" fillId="0" borderId="0" xfId="15" applyNumberFormat="1" applyFont="1" applyFill="1" applyAlignment="1" quotePrefix="1">
      <alignment/>
    </xf>
    <xf numFmtId="38" fontId="1" fillId="0" borderId="0" xfId="15" applyNumberFormat="1" applyFont="1" applyFill="1" applyAlignment="1">
      <alignment/>
    </xf>
    <xf numFmtId="38" fontId="1" fillId="0" borderId="2" xfId="15" applyNumberFormat="1" applyFont="1" applyBorder="1" applyAlignment="1">
      <alignment/>
    </xf>
    <xf numFmtId="38" fontId="1" fillId="0" borderId="0" xfId="0" applyNumberFormat="1" applyFont="1" applyAlignment="1">
      <alignment horizontal="left"/>
    </xf>
    <xf numFmtId="40" fontId="1" fillId="0" borderId="0" xfId="15" applyNumberFormat="1" applyFont="1" applyAlignment="1">
      <alignment/>
    </xf>
    <xf numFmtId="38" fontId="0" fillId="0" borderId="0" xfId="15" applyNumberFormat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1" fillId="0" borderId="0" xfId="15" applyNumberFormat="1" applyFont="1" applyAlignment="1">
      <alignment horizontal="righ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164" fontId="2" fillId="0" borderId="0" xfId="15" applyNumberFormat="1" applyFont="1" applyAlignment="1" quotePrefix="1">
      <alignment horizontal="center"/>
    </xf>
    <xf numFmtId="164" fontId="2" fillId="0" borderId="0" xfId="15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164" fontId="1" fillId="0" borderId="0" xfId="15" applyNumberFormat="1" applyFont="1" applyAlignment="1">
      <alignment horizontal="right"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0" fontId="2" fillId="0" borderId="0" xfId="0" applyFont="1" applyAlignment="1">
      <alignment horizontal="left"/>
    </xf>
    <xf numFmtId="164" fontId="1" fillId="0" borderId="7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40" fontId="1" fillId="0" borderId="0" xfId="15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164" fontId="1" fillId="0" borderId="0" xfId="15" applyNumberFormat="1" applyFont="1" applyBorder="1" applyAlignment="1" quotePrefix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 quotePrefix="1">
      <alignment horizontal="right"/>
    </xf>
    <xf numFmtId="164" fontId="1" fillId="0" borderId="0" xfId="15" applyNumberFormat="1" applyFont="1" applyAlignment="1" quotePrefix="1">
      <alignment horizontal="right"/>
    </xf>
    <xf numFmtId="164" fontId="1" fillId="0" borderId="0" xfId="0" applyNumberFormat="1" applyFont="1" applyAlignment="1">
      <alignment horizontal="right"/>
    </xf>
    <xf numFmtId="38" fontId="1" fillId="0" borderId="0" xfId="15" applyNumberFormat="1" applyFont="1" applyAlignment="1" quotePrefix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6" fillId="0" borderId="0" xfId="0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7" xfId="0" applyNumberFormat="1" applyFont="1" applyBorder="1" applyAlignment="1">
      <alignment horizontal="right"/>
    </xf>
    <xf numFmtId="164" fontId="1" fillId="0" borderId="0" xfId="15" applyNumberFormat="1" applyFont="1" applyAlignment="1">
      <alignment horizontal="center"/>
    </xf>
    <xf numFmtId="164" fontId="1" fillId="0" borderId="0" xfId="15" applyNumberFormat="1" applyFont="1" applyAlignment="1" quotePrefix="1">
      <alignment horizontal="center"/>
    </xf>
    <xf numFmtId="0" fontId="5" fillId="0" borderId="0" xfId="0" applyFont="1" applyAlignment="1">
      <alignment/>
    </xf>
    <xf numFmtId="164" fontId="7" fillId="0" borderId="0" xfId="15" applyNumberFormat="1" applyFont="1" applyAlignment="1" quotePrefix="1">
      <alignment horizontal="center"/>
    </xf>
    <xf numFmtId="38" fontId="1" fillId="0" borderId="7" xfId="15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 quotePrefix="1">
      <alignment horizontal="left"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 quotePrefix="1">
      <alignment horizontal="left"/>
    </xf>
    <xf numFmtId="15" fontId="1" fillId="0" borderId="0" xfId="0" applyNumberFormat="1" applyFont="1" applyAlignment="1" quotePrefix="1">
      <alignment horizontal="left"/>
    </xf>
    <xf numFmtId="38" fontId="1" fillId="0" borderId="0" xfId="0" applyNumberFormat="1" applyFont="1" applyAlignment="1">
      <alignment horizontal="center"/>
    </xf>
    <xf numFmtId="38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com%20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BS"/>
      <sheetName val=" P&amp;L"/>
      <sheetName val="SA"/>
      <sheetName val="sgmt"/>
      <sheetName val="J"/>
      <sheetName val="Adj"/>
      <sheetName val="C&amp;M"/>
      <sheetName val="N1"/>
      <sheetName val="N2"/>
      <sheetName val="CF"/>
      <sheetName val="CFR"/>
      <sheetName val="gCFR"/>
      <sheetName val="FA"/>
      <sheetName val="Proof"/>
      <sheetName val="pl"/>
      <sheetName val="bs"/>
      <sheetName val="n"/>
      <sheetName val="A1"/>
      <sheetName val="A2"/>
      <sheetName val="A3"/>
      <sheetName val="A4"/>
      <sheetName val="C&amp;B"/>
      <sheetName val="CL2"/>
      <sheetName val="CL1"/>
      <sheetName val="A Bud"/>
      <sheetName val="Bud"/>
      <sheetName val="CF1"/>
      <sheetName val="CF2"/>
      <sheetName val="CF3"/>
      <sheetName val="QCF"/>
      <sheetName val="BCF"/>
      <sheetName val="ABCF"/>
      <sheetName val="mi"/>
    </sheetNames>
    <sheetDataSet>
      <sheetData sheetId="0">
        <row r="8">
          <cell r="W8">
            <v>498105.19381132076</v>
          </cell>
        </row>
        <row r="13">
          <cell r="W13">
            <v>0.0004528301954269409</v>
          </cell>
        </row>
        <row r="17">
          <cell r="W17">
            <v>337651.498</v>
          </cell>
        </row>
        <row r="19">
          <cell r="W19">
            <v>76</v>
          </cell>
        </row>
        <row r="22">
          <cell r="W22">
            <v>52188</v>
          </cell>
        </row>
        <row r="36">
          <cell r="W36">
            <v>32797</v>
          </cell>
        </row>
        <row r="43">
          <cell r="W43">
            <v>87636.38154716982</v>
          </cell>
        </row>
        <row r="46">
          <cell r="W46">
            <v>70736.95116981132</v>
          </cell>
        </row>
        <row r="48">
          <cell r="W48">
            <v>30508.784339622645</v>
          </cell>
        </row>
        <row r="50">
          <cell r="W50">
            <v>0</v>
          </cell>
        </row>
        <row r="53">
          <cell r="W53">
            <v>596.071</v>
          </cell>
        </row>
        <row r="54">
          <cell r="W54">
            <v>-479.144</v>
          </cell>
        </row>
        <row r="55">
          <cell r="W55">
            <v>1055.296</v>
          </cell>
        </row>
        <row r="56">
          <cell r="W56">
            <v>13204.351037735849</v>
          </cell>
        </row>
        <row r="57">
          <cell r="W57">
            <v>3364</v>
          </cell>
        </row>
        <row r="66">
          <cell r="W66">
            <v>-81913.70135849057</v>
          </cell>
        </row>
        <row r="68">
          <cell r="W68">
            <v>-207684.10088679244</v>
          </cell>
        </row>
        <row r="70">
          <cell r="W70">
            <v>-629.805</v>
          </cell>
        </row>
        <row r="71">
          <cell r="W71">
            <v>-2432.9543773584905</v>
          </cell>
        </row>
        <row r="79">
          <cell r="W79">
            <v>-605397.106735849</v>
          </cell>
        </row>
        <row r="83">
          <cell r="W83">
            <v>-32122.763</v>
          </cell>
        </row>
        <row r="84">
          <cell r="W84">
            <v>-17712.142</v>
          </cell>
        </row>
        <row r="85">
          <cell r="W85">
            <v>-195280.071</v>
          </cell>
        </row>
        <row r="86">
          <cell r="W86">
            <v>-15779.655188679244</v>
          </cell>
        </row>
        <row r="91">
          <cell r="W91">
            <v>-392682.0730899999</v>
          </cell>
        </row>
        <row r="93">
          <cell r="W93">
            <v>-134488.604</v>
          </cell>
        </row>
        <row r="94">
          <cell r="W94">
            <v>-105038.77419999999</v>
          </cell>
        </row>
        <row r="95">
          <cell r="W95">
            <v>-474.444</v>
          </cell>
        </row>
        <row r="97">
          <cell r="W97">
            <v>-2745.337</v>
          </cell>
        </row>
        <row r="98">
          <cell r="W98">
            <v>-8138.287</v>
          </cell>
        </row>
        <row r="104">
          <cell r="W104">
            <v>-5485.377358490566</v>
          </cell>
        </row>
        <row r="112">
          <cell r="W112">
            <v>0</v>
          </cell>
        </row>
        <row r="116">
          <cell r="W116">
            <v>-13317.000283018868</v>
          </cell>
        </row>
        <row r="117">
          <cell r="W117">
            <v>-84001.7736981132</v>
          </cell>
        </row>
      </sheetData>
      <sheetData sheetId="1">
        <row r="8">
          <cell r="T8">
            <v>71649905.4716981</v>
          </cell>
        </row>
        <row r="17">
          <cell r="T17">
            <v>-5484234.660377358</v>
          </cell>
        </row>
        <row r="24">
          <cell r="T24">
            <v>6947225</v>
          </cell>
        </row>
        <row r="25">
          <cell r="T25">
            <v>-14560963.641509436</v>
          </cell>
        </row>
        <row r="27">
          <cell r="T27">
            <v>-367000</v>
          </cell>
        </row>
        <row r="30">
          <cell r="T30">
            <v>2633456.5094339624</v>
          </cell>
        </row>
      </sheetData>
      <sheetData sheetId="3">
        <row r="12">
          <cell r="D12">
            <v>1061616</v>
          </cell>
        </row>
        <row r="14">
          <cell r="C14">
            <v>5401000</v>
          </cell>
          <cell r="E14">
            <v>115711181</v>
          </cell>
        </row>
        <row r="19">
          <cell r="D19">
            <v>2308919</v>
          </cell>
        </row>
        <row r="21">
          <cell r="C21">
            <v>5326580</v>
          </cell>
          <cell r="E21">
            <v>310487780</v>
          </cell>
        </row>
        <row r="25">
          <cell r="C25">
            <v>45727830.18867924</v>
          </cell>
          <cell r="D25">
            <v>-3507547.1698113205</v>
          </cell>
          <cell r="E25">
            <v>142800471.6981132</v>
          </cell>
        </row>
        <row r="32">
          <cell r="E32">
            <v>5446940.566037736</v>
          </cell>
        </row>
        <row r="33">
          <cell r="C33">
            <v>14894120.283018868</v>
          </cell>
          <cell r="D33">
            <v>-5933278.396226415</v>
          </cell>
          <cell r="E33">
            <v>185199881.56603774</v>
          </cell>
        </row>
        <row r="47">
          <cell r="E47">
            <v>3764772.6415094337</v>
          </cell>
        </row>
        <row r="50">
          <cell r="C50">
            <v>300375</v>
          </cell>
          <cell r="D50">
            <v>-8490673.37735849</v>
          </cell>
          <cell r="E50">
            <v>373241069.6415094</v>
          </cell>
        </row>
        <row r="60">
          <cell r="C60">
            <v>25368455</v>
          </cell>
          <cell r="D60">
            <v>-10200013</v>
          </cell>
          <cell r="E60">
            <v>975428199</v>
          </cell>
        </row>
        <row r="62">
          <cell r="C62">
            <v>46281450.471698105</v>
          </cell>
          <cell r="D62">
            <v>-4360950.943396226</v>
          </cell>
        </row>
      </sheetData>
      <sheetData sheetId="7">
        <row r="56">
          <cell r="T56">
            <v>0</v>
          </cell>
        </row>
        <row r="86">
          <cell r="T86">
            <v>17830138</v>
          </cell>
        </row>
        <row r="87">
          <cell r="T87">
            <v>0</v>
          </cell>
        </row>
        <row r="89">
          <cell r="T89">
            <v>0</v>
          </cell>
        </row>
        <row r="91">
          <cell r="T91">
            <v>0</v>
          </cell>
        </row>
        <row r="92">
          <cell r="T92">
            <v>961189</v>
          </cell>
        </row>
        <row r="100">
          <cell r="T100">
            <v>153183.20754716982</v>
          </cell>
        </row>
      </sheetData>
      <sheetData sheetId="14">
        <row r="61">
          <cell r="I61">
            <v>-12294.507132075472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E13" sqref="E13"/>
    </sheetView>
  </sheetViews>
  <sheetFormatPr defaultColWidth="9.140625" defaultRowHeight="12.75"/>
  <cols>
    <col min="1" max="1" width="2.421875" style="2" customWidth="1"/>
    <col min="2" max="2" width="3.7109375" style="2" customWidth="1"/>
    <col min="3" max="3" width="3.28125" style="2" customWidth="1"/>
    <col min="4" max="4" width="12.140625" style="2" customWidth="1"/>
    <col min="5" max="5" width="23.421875" style="2" customWidth="1"/>
    <col min="6" max="6" width="12.00390625" style="4" customWidth="1"/>
    <col min="7" max="7" width="13.140625" style="4" customWidth="1"/>
    <col min="8" max="8" width="3.140625" style="10" customWidth="1"/>
    <col min="9" max="9" width="11.7109375" style="4" customWidth="1"/>
    <col min="10" max="10" width="12.7109375" style="4" customWidth="1"/>
    <col min="11" max="12" width="9.140625" style="2" customWidth="1"/>
    <col min="13" max="13" width="1.7109375" style="2" customWidth="1"/>
    <col min="14" max="14" width="12.7109375" style="3" customWidth="1"/>
    <col min="15" max="16384" width="9.140625" style="2" customWidth="1"/>
  </cols>
  <sheetData>
    <row r="1" spans="1:10" ht="12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2.7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2.7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</row>
    <row r="4" ht="12.75">
      <c r="H4" s="5"/>
    </row>
    <row r="5" spans="1:14" s="6" customFormat="1" ht="12.75">
      <c r="A5" s="80" t="s">
        <v>3</v>
      </c>
      <c r="B5" s="80"/>
      <c r="C5" s="80"/>
      <c r="D5" s="80"/>
      <c r="E5" s="80"/>
      <c r="F5" s="80"/>
      <c r="G5" s="80"/>
      <c r="H5" s="80"/>
      <c r="I5" s="80"/>
      <c r="J5" s="80"/>
      <c r="N5" s="7"/>
    </row>
    <row r="6" spans="1:14" s="6" customFormat="1" ht="12.75">
      <c r="A6" s="80" t="s">
        <v>4</v>
      </c>
      <c r="B6" s="80"/>
      <c r="C6" s="80"/>
      <c r="D6" s="80"/>
      <c r="E6" s="80"/>
      <c r="F6" s="80"/>
      <c r="G6" s="80"/>
      <c r="H6" s="80"/>
      <c r="I6" s="80"/>
      <c r="J6" s="80"/>
      <c r="N6" s="7"/>
    </row>
    <row r="7" spans="1:8" ht="12.75">
      <c r="A7" s="8"/>
      <c r="B7" s="8"/>
      <c r="C7" s="8"/>
      <c r="D7" s="8"/>
      <c r="E7" s="8"/>
      <c r="H7" s="5"/>
    </row>
    <row r="8" ht="12.75">
      <c r="A8" s="9" t="s">
        <v>5</v>
      </c>
    </row>
    <row r="9" ht="12.75">
      <c r="A9" s="11"/>
    </row>
    <row r="10" spans="6:10" ht="12.75">
      <c r="F10" s="81" t="s">
        <v>6</v>
      </c>
      <c r="G10" s="81"/>
      <c r="H10" s="4"/>
      <c r="I10" s="81" t="s">
        <v>7</v>
      </c>
      <c r="J10" s="81"/>
    </row>
    <row r="11" spans="6:10" ht="12.75">
      <c r="F11" s="12"/>
      <c r="G11" s="12" t="s">
        <v>8</v>
      </c>
      <c r="H11" s="12"/>
      <c r="I11" s="12"/>
      <c r="J11" s="12" t="s">
        <v>8</v>
      </c>
    </row>
    <row r="12" spans="6:14" ht="12.75">
      <c r="F12" s="12" t="s">
        <v>9</v>
      </c>
      <c r="G12" s="12" t="s">
        <v>10</v>
      </c>
      <c r="H12" s="12"/>
      <c r="I12" s="12" t="s">
        <v>11</v>
      </c>
      <c r="J12" s="12" t="s">
        <v>10</v>
      </c>
      <c r="N12" s="13"/>
    </row>
    <row r="13" spans="6:14" ht="12.75">
      <c r="F13" s="14" t="s">
        <v>12</v>
      </c>
      <c r="G13" s="12" t="s">
        <v>13</v>
      </c>
      <c r="H13" s="12"/>
      <c r="I13" s="12" t="s">
        <v>14</v>
      </c>
      <c r="J13" s="12" t="s">
        <v>15</v>
      </c>
      <c r="N13" s="15"/>
    </row>
    <row r="14" spans="6:14" ht="12.75">
      <c r="F14" s="14" t="s">
        <v>16</v>
      </c>
      <c r="G14" s="14" t="s">
        <v>17</v>
      </c>
      <c r="H14" s="12"/>
      <c r="I14" s="14" t="s">
        <v>16</v>
      </c>
      <c r="J14" s="14" t="s">
        <v>17</v>
      </c>
      <c r="N14" s="15"/>
    </row>
    <row r="15" spans="6:14" ht="12.75">
      <c r="F15" s="12" t="s">
        <v>18</v>
      </c>
      <c r="G15" s="14" t="s">
        <v>18</v>
      </c>
      <c r="H15" s="12"/>
      <c r="I15" s="12" t="s">
        <v>18</v>
      </c>
      <c r="J15" s="14" t="s">
        <v>18</v>
      </c>
      <c r="N15" s="13"/>
    </row>
    <row r="16" ht="12.75">
      <c r="N16" s="16"/>
    </row>
    <row r="17" spans="1:14" ht="13.5" thickBot="1">
      <c r="A17" s="9" t="s">
        <v>19</v>
      </c>
      <c r="B17" s="9" t="s">
        <v>20</v>
      </c>
      <c r="C17" s="2" t="s">
        <v>21</v>
      </c>
      <c r="F17" s="17">
        <f>I17</f>
        <v>71649.9054716981</v>
      </c>
      <c r="G17" s="18">
        <v>79844</v>
      </c>
      <c r="I17" s="18">
        <f>+'[1] P&amp;L'!$T$8/1000</f>
        <v>71649.9054716981</v>
      </c>
      <c r="J17" s="18">
        <v>79844</v>
      </c>
      <c r="N17" s="16"/>
    </row>
    <row r="18" ht="13.5" thickTop="1">
      <c r="N18" s="16"/>
    </row>
    <row r="19" spans="2:14" ht="13.5" thickBot="1">
      <c r="B19" s="9" t="s">
        <v>22</v>
      </c>
      <c r="C19" s="2" t="s">
        <v>23</v>
      </c>
      <c r="F19" s="17">
        <f>I19</f>
        <v>0</v>
      </c>
      <c r="G19" s="18">
        <v>0</v>
      </c>
      <c r="I19" s="18">
        <f>(+'[1]N1'!T56)/1000</f>
        <v>0</v>
      </c>
      <c r="J19" s="18">
        <v>0</v>
      </c>
      <c r="N19" s="16"/>
    </row>
    <row r="20" ht="13.5" thickTop="1">
      <c r="N20" s="16"/>
    </row>
    <row r="21" spans="2:14" ht="13.5" thickBot="1">
      <c r="B21" s="9" t="s">
        <v>24</v>
      </c>
      <c r="C21" s="2" t="s">
        <v>25</v>
      </c>
      <c r="F21" s="17">
        <f>I21</f>
        <v>153.18320754716981</v>
      </c>
      <c r="G21" s="18">
        <v>167</v>
      </c>
      <c r="I21" s="18">
        <f>'[1]N1'!T100/1000</f>
        <v>153.18320754716981</v>
      </c>
      <c r="J21" s="18">
        <v>167</v>
      </c>
      <c r="N21" s="16"/>
    </row>
    <row r="22" ht="13.5" thickTop="1">
      <c r="N22" s="16"/>
    </row>
    <row r="23" spans="1:14" ht="12.75">
      <c r="A23" s="9" t="s">
        <v>26</v>
      </c>
      <c r="B23" s="9" t="s">
        <v>20</v>
      </c>
      <c r="C23" s="9" t="s">
        <v>214</v>
      </c>
      <c r="N23" s="16"/>
    </row>
    <row r="24" spans="3:14" ht="12.75">
      <c r="C24" s="9" t="s">
        <v>27</v>
      </c>
      <c r="N24" s="16"/>
    </row>
    <row r="25" spans="3:14" ht="12.75">
      <c r="C25" s="9" t="s">
        <v>28</v>
      </c>
      <c r="N25" s="16"/>
    </row>
    <row r="26" spans="3:14" ht="12.75">
      <c r="C26" s="9" t="s">
        <v>29</v>
      </c>
      <c r="F26" s="4">
        <f>I26</f>
        <v>2767.3730188679256</v>
      </c>
      <c r="G26" s="19">
        <v>11270</v>
      </c>
      <c r="I26" s="4">
        <f>I35-I32-I30-I28</f>
        <v>2767.3730188679256</v>
      </c>
      <c r="J26" s="19">
        <v>11270</v>
      </c>
      <c r="N26" s="16"/>
    </row>
    <row r="27" ht="12.75">
      <c r="N27" s="16"/>
    </row>
    <row r="28" spans="2:14" ht="12.75">
      <c r="B28" s="9" t="s">
        <v>22</v>
      </c>
      <c r="C28" s="2" t="s">
        <v>30</v>
      </c>
      <c r="F28" s="4">
        <f>I28</f>
        <v>-18791.327</v>
      </c>
      <c r="G28" s="19">
        <v>-15925</v>
      </c>
      <c r="I28" s="20">
        <f>(-'[1]N1'!T86-'[1]N1'!T87-'[1]N1'!T89-'[1]N1'!T91-'[1]N1'!T92)/1000</f>
        <v>-18791.327</v>
      </c>
      <c r="J28" s="19">
        <v>-15925</v>
      </c>
      <c r="N28" s="16"/>
    </row>
    <row r="29" spans="9:14" ht="12.75">
      <c r="I29" s="21"/>
      <c r="N29" s="16"/>
    </row>
    <row r="30" spans="2:14" ht="12.75">
      <c r="B30" s="9" t="s">
        <v>24</v>
      </c>
      <c r="C30" s="2" t="s">
        <v>31</v>
      </c>
      <c r="F30" s="4">
        <f>I30</f>
        <v>-5484.2346603773585</v>
      </c>
      <c r="G30" s="19">
        <v>-6393</v>
      </c>
      <c r="I30" s="20">
        <f>'[1] P&amp;L'!T17/1000</f>
        <v>-5484.2346603773585</v>
      </c>
      <c r="J30" s="19">
        <v>-6393</v>
      </c>
      <c r="N30" s="16"/>
    </row>
    <row r="31" ht="12.75">
      <c r="N31" s="16"/>
    </row>
    <row r="32" spans="2:14" ht="12.75">
      <c r="B32" s="9" t="s">
        <v>32</v>
      </c>
      <c r="C32" s="2" t="s">
        <v>33</v>
      </c>
      <c r="F32" s="4">
        <f>I32</f>
        <v>6947.225</v>
      </c>
      <c r="G32" s="19">
        <v>36619</v>
      </c>
      <c r="I32" s="19">
        <f>'[1] P&amp;L'!T24/1000</f>
        <v>6947.225</v>
      </c>
      <c r="J32" s="19">
        <v>36619</v>
      </c>
      <c r="N32" s="16"/>
    </row>
    <row r="33" ht="12.75">
      <c r="N33" s="16"/>
    </row>
    <row r="34" spans="2:14" ht="12.75">
      <c r="B34" s="9" t="s">
        <v>34</v>
      </c>
      <c r="C34" s="9" t="s">
        <v>35</v>
      </c>
      <c r="F34" s="22"/>
      <c r="G34" s="22"/>
      <c r="I34" s="22"/>
      <c r="J34" s="22"/>
      <c r="N34" s="16"/>
    </row>
    <row r="35" spans="3:14" ht="12.75">
      <c r="C35" s="2" t="s">
        <v>215</v>
      </c>
      <c r="F35" s="19">
        <f>SUM(F26:F32)</f>
        <v>-14560.963641509434</v>
      </c>
      <c r="G35" s="19">
        <f>SUM(G26:G32)</f>
        <v>25571</v>
      </c>
      <c r="I35" s="19">
        <f>'[1] P&amp;L'!T25/1000</f>
        <v>-14560.963641509436</v>
      </c>
      <c r="J35" s="19">
        <f>SUM(J26:J32)</f>
        <v>25571</v>
      </c>
      <c r="N35" s="16"/>
    </row>
    <row r="36" ht="12.75">
      <c r="N36" s="16"/>
    </row>
    <row r="37" spans="2:14" ht="12.75">
      <c r="B37" s="9" t="s">
        <v>36</v>
      </c>
      <c r="C37" s="9" t="s">
        <v>216</v>
      </c>
      <c r="F37" s="4">
        <v>0</v>
      </c>
      <c r="G37" s="19">
        <v>0</v>
      </c>
      <c r="I37" s="19">
        <v>0</v>
      </c>
      <c r="J37" s="19">
        <v>0</v>
      </c>
      <c r="N37" s="16"/>
    </row>
    <row r="38" ht="12.75">
      <c r="N38" s="16"/>
    </row>
    <row r="39" spans="2:14" ht="12.75">
      <c r="B39" s="9" t="s">
        <v>37</v>
      </c>
      <c r="C39" s="9" t="s">
        <v>38</v>
      </c>
      <c r="F39" s="22"/>
      <c r="G39" s="22"/>
      <c r="I39" s="22"/>
      <c r="J39" s="22"/>
      <c r="N39" s="16"/>
    </row>
    <row r="40" spans="3:14" ht="12.75">
      <c r="C40" s="9" t="s">
        <v>217</v>
      </c>
      <c r="F40" s="4">
        <f>SUM(F35:F38)</f>
        <v>-14560.963641509434</v>
      </c>
      <c r="G40" s="4">
        <f>SUM(G35:G38)</f>
        <v>25571</v>
      </c>
      <c r="I40" s="4">
        <f>SUM(I35:I38)</f>
        <v>-14560.963641509436</v>
      </c>
      <c r="J40" s="19">
        <f>SUM(J35:J38)</f>
        <v>25571</v>
      </c>
      <c r="N40" s="16"/>
    </row>
    <row r="41" spans="3:14" ht="12.75">
      <c r="C41" s="23" t="s">
        <v>218</v>
      </c>
      <c r="J41" s="19"/>
      <c r="N41" s="16"/>
    </row>
    <row r="42" ht="12.75">
      <c r="N42" s="16"/>
    </row>
    <row r="43" spans="2:14" ht="12.75">
      <c r="B43" s="9" t="s">
        <v>39</v>
      </c>
      <c r="C43" s="2" t="s">
        <v>219</v>
      </c>
      <c r="F43" s="4">
        <f>I43</f>
        <v>-367</v>
      </c>
      <c r="G43" s="19">
        <v>-316</v>
      </c>
      <c r="I43" s="19">
        <f>+'[1] P&amp;L'!$T$27/1000</f>
        <v>-367</v>
      </c>
      <c r="J43" s="19">
        <v>-316</v>
      </c>
      <c r="N43" s="16"/>
    </row>
    <row r="44" ht="12.75">
      <c r="N44" s="16"/>
    </row>
    <row r="45" spans="2:14" ht="12.75">
      <c r="B45" s="9" t="s">
        <v>41</v>
      </c>
      <c r="C45" s="9" t="s">
        <v>41</v>
      </c>
      <c r="D45" s="9" t="s">
        <v>42</v>
      </c>
      <c r="F45" s="22"/>
      <c r="G45" s="22"/>
      <c r="I45" s="22"/>
      <c r="J45" s="22"/>
      <c r="N45" s="16"/>
    </row>
    <row r="46" spans="4:14" ht="12.75">
      <c r="D46" s="9" t="s">
        <v>220</v>
      </c>
      <c r="F46" s="4">
        <f>SUM(F40:F44)</f>
        <v>-14927.963641509434</v>
      </c>
      <c r="G46" s="4">
        <f>SUM(G40:G44)</f>
        <v>25255</v>
      </c>
      <c r="I46" s="4">
        <f>SUM(I40:I44)</f>
        <v>-14927.963641509436</v>
      </c>
      <c r="J46" s="19">
        <f>SUM(J40:J44)</f>
        <v>25255</v>
      </c>
      <c r="N46" s="16"/>
    </row>
    <row r="47" ht="12.75">
      <c r="N47" s="16"/>
    </row>
    <row r="48" spans="3:14" ht="12.75">
      <c r="C48" s="9" t="s">
        <v>43</v>
      </c>
      <c r="D48" s="23" t="s">
        <v>221</v>
      </c>
      <c r="F48" s="4">
        <f>I48</f>
        <v>2633.4565094339623</v>
      </c>
      <c r="G48" s="19">
        <v>2140</v>
      </c>
      <c r="I48" s="19">
        <f>+'[1] P&amp;L'!$T$30/1000</f>
        <v>2633.4565094339623</v>
      </c>
      <c r="J48" s="19">
        <v>2140</v>
      </c>
      <c r="N48" s="16"/>
    </row>
    <row r="49" ht="12.75">
      <c r="N49" s="16"/>
    </row>
    <row r="50" spans="2:14" ht="12.75">
      <c r="B50" s="2" t="s">
        <v>44</v>
      </c>
      <c r="C50" s="2" t="s">
        <v>45</v>
      </c>
      <c r="F50" s="4">
        <f>I50</f>
        <v>0</v>
      </c>
      <c r="G50" s="4">
        <v>0</v>
      </c>
      <c r="I50" s="4">
        <v>0</v>
      </c>
      <c r="J50" s="4">
        <v>0</v>
      </c>
      <c r="N50" s="16"/>
    </row>
    <row r="51" ht="12.75">
      <c r="N51" s="16"/>
    </row>
    <row r="52" spans="2:14" ht="12.75">
      <c r="B52" s="23" t="s">
        <v>46</v>
      </c>
      <c r="C52" s="9" t="s">
        <v>47</v>
      </c>
      <c r="F52" s="22"/>
      <c r="G52" s="22"/>
      <c r="I52" s="22"/>
      <c r="J52" s="22"/>
      <c r="N52" s="16"/>
    </row>
    <row r="53" spans="3:14" ht="12.75">
      <c r="C53" s="9" t="s">
        <v>48</v>
      </c>
      <c r="F53" s="4">
        <f>SUM(F46:F49)</f>
        <v>-12294.507132075472</v>
      </c>
      <c r="G53" s="4">
        <f>SUM(G46:G49)</f>
        <v>27395</v>
      </c>
      <c r="I53" s="4">
        <f>SUM(I46:I49)</f>
        <v>-12294.507132075472</v>
      </c>
      <c r="J53" s="19">
        <f>SUM(J45:J49)</f>
        <v>27395</v>
      </c>
      <c r="N53" s="16"/>
    </row>
    <row r="54" ht="12.75">
      <c r="N54" s="16"/>
    </row>
    <row r="55" spans="2:14" ht="12.75">
      <c r="B55" s="23" t="s">
        <v>49</v>
      </c>
      <c r="C55" s="9" t="s">
        <v>41</v>
      </c>
      <c r="D55" s="2" t="s">
        <v>50</v>
      </c>
      <c r="F55" s="4">
        <f>I55</f>
        <v>0</v>
      </c>
      <c r="G55" s="19">
        <v>0</v>
      </c>
      <c r="I55" s="19">
        <v>0</v>
      </c>
      <c r="J55" s="19">
        <v>0</v>
      </c>
      <c r="N55" s="16"/>
    </row>
    <row r="56" spans="3:14" ht="12.75">
      <c r="C56" s="9" t="s">
        <v>43</v>
      </c>
      <c r="D56" s="2" t="s">
        <v>221</v>
      </c>
      <c r="F56" s="4">
        <f>I56</f>
        <v>0</v>
      </c>
      <c r="G56" s="19">
        <v>0</v>
      </c>
      <c r="I56" s="19">
        <v>0</v>
      </c>
      <c r="J56" s="19">
        <v>0</v>
      </c>
      <c r="N56" s="16"/>
    </row>
    <row r="57" spans="3:14" ht="12.75">
      <c r="C57" s="9" t="s">
        <v>51</v>
      </c>
      <c r="D57" s="2" t="s">
        <v>52</v>
      </c>
      <c r="N57" s="16"/>
    </row>
    <row r="58" spans="4:14" ht="12.75">
      <c r="D58" s="2" t="s">
        <v>53</v>
      </c>
      <c r="F58" s="4">
        <f>I58</f>
        <v>0</v>
      </c>
      <c r="G58" s="19">
        <v>0</v>
      </c>
      <c r="I58" s="19">
        <v>0</v>
      </c>
      <c r="J58" s="19">
        <v>0</v>
      </c>
      <c r="N58" s="16"/>
    </row>
    <row r="59" ht="12.75">
      <c r="N59" s="16"/>
    </row>
    <row r="60" spans="2:14" ht="12.75">
      <c r="B60" s="23" t="s">
        <v>54</v>
      </c>
      <c r="C60" s="9" t="s">
        <v>55</v>
      </c>
      <c r="F60" s="22"/>
      <c r="G60" s="22"/>
      <c r="I60" s="22"/>
      <c r="J60" s="22"/>
      <c r="N60" s="16"/>
    </row>
    <row r="61" spans="3:14" ht="12.75">
      <c r="C61" s="2" t="s">
        <v>53</v>
      </c>
      <c r="F61" s="4">
        <f>SUM(F53:F60)</f>
        <v>-12294.507132075472</v>
      </c>
      <c r="G61" s="4">
        <f>SUM(G53:G60)</f>
        <v>27395</v>
      </c>
      <c r="I61" s="4">
        <f>SUM(I53:I60)</f>
        <v>-12294.507132075472</v>
      </c>
      <c r="J61" s="19">
        <f>SUM(J53:J59)</f>
        <v>27395</v>
      </c>
      <c r="N61" s="16"/>
    </row>
    <row r="62" spans="6:14" ht="13.5" thickBot="1">
      <c r="F62" s="17"/>
      <c r="G62" s="17"/>
      <c r="I62" s="17"/>
      <c r="J62" s="17"/>
      <c r="N62" s="16"/>
    </row>
    <row r="63" ht="13.5" thickTop="1">
      <c r="N63" s="16"/>
    </row>
    <row r="64" spans="1:14" ht="12.75">
      <c r="A64" s="9" t="s">
        <v>56</v>
      </c>
      <c r="B64" s="9"/>
      <c r="C64" s="9" t="s">
        <v>57</v>
      </c>
      <c r="N64" s="16"/>
    </row>
    <row r="65" spans="3:14" ht="12.75">
      <c r="C65" s="2" t="s">
        <v>58</v>
      </c>
      <c r="N65" s="16"/>
    </row>
    <row r="66" spans="3:14" ht="12.75">
      <c r="C66" s="2" t="s">
        <v>59</v>
      </c>
      <c r="N66" s="16"/>
    </row>
    <row r="67" ht="12.75">
      <c r="N67" s="16"/>
    </row>
    <row r="68" spans="3:14" ht="12.75">
      <c r="C68" s="23" t="s">
        <v>20</v>
      </c>
      <c r="D68" s="9" t="s">
        <v>60</v>
      </c>
      <c r="F68" s="24">
        <f>+$F$61/392683*100</f>
        <v>-3.1308987483734905</v>
      </c>
      <c r="G68" s="24">
        <f>+G61/392683*100</f>
        <v>6.97636515968351</v>
      </c>
      <c r="I68" s="24">
        <f>+I61/392683*100</f>
        <v>-3.1308987483734905</v>
      </c>
      <c r="J68" s="24">
        <f>+J61/392683*100</f>
        <v>6.97636515968351</v>
      </c>
      <c r="N68" s="16"/>
    </row>
    <row r="69" spans="4:14" ht="12.75">
      <c r="D69" s="2" t="s">
        <v>61</v>
      </c>
      <c r="F69" s="25"/>
      <c r="I69" s="26"/>
      <c r="J69" s="26"/>
      <c r="N69" s="27"/>
    </row>
    <row r="70" ht="12.75">
      <c r="N70" s="16"/>
    </row>
    <row r="71" spans="3:14" ht="12.75">
      <c r="C71" s="23" t="s">
        <v>22</v>
      </c>
      <c r="D71" s="9" t="s">
        <v>62</v>
      </c>
      <c r="F71" s="28" t="s">
        <v>63</v>
      </c>
      <c r="G71" s="28" t="s">
        <v>63</v>
      </c>
      <c r="H71" s="28"/>
      <c r="I71" s="28" t="s">
        <v>63</v>
      </c>
      <c r="J71" s="28" t="s">
        <v>63</v>
      </c>
      <c r="N71" s="16"/>
    </row>
    <row r="72" spans="6:14" ht="12.75">
      <c r="F72" s="25"/>
      <c r="I72" s="26"/>
      <c r="N72" s="27"/>
    </row>
  </sheetData>
  <mergeCells count="7">
    <mergeCell ref="A6:J6"/>
    <mergeCell ref="F10:G10"/>
    <mergeCell ref="I10:J10"/>
    <mergeCell ref="A1:J1"/>
    <mergeCell ref="A2:J2"/>
    <mergeCell ref="A3:J3"/>
    <mergeCell ref="A5:J5"/>
  </mergeCells>
  <printOptions/>
  <pageMargins left="0.75" right="0.75" top="1" bottom="1" header="0.5" footer="0.5"/>
  <pageSetup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workbookViewId="0" topLeftCell="A50">
      <selection activeCell="C61" sqref="C61"/>
    </sheetView>
  </sheetViews>
  <sheetFormatPr defaultColWidth="9.140625" defaultRowHeight="12.75"/>
  <cols>
    <col min="1" max="1" width="4.140625" style="30" customWidth="1"/>
    <col min="2" max="2" width="3.8515625" style="30" customWidth="1"/>
    <col min="3" max="3" width="25.8515625" style="30" customWidth="1"/>
    <col min="4" max="4" width="21.7109375" style="31" customWidth="1"/>
    <col min="5" max="5" width="5.421875" style="31" customWidth="1"/>
    <col min="6" max="6" width="21.57421875" style="31" customWidth="1"/>
    <col min="7" max="16384" width="9.140625" style="30" customWidth="1"/>
  </cols>
  <sheetData>
    <row r="1" ht="12.75">
      <c r="A1" s="29" t="s">
        <v>64</v>
      </c>
    </row>
    <row r="2" ht="12.75">
      <c r="A2" s="32"/>
    </row>
    <row r="3" ht="12.75">
      <c r="A3" s="33" t="s">
        <v>65</v>
      </c>
    </row>
    <row r="4" ht="12.75">
      <c r="A4" s="34"/>
    </row>
    <row r="5" spans="4:6" ht="12.75">
      <c r="D5" s="35" t="s">
        <v>66</v>
      </c>
      <c r="E5" s="35"/>
      <c r="F5" s="36" t="s">
        <v>67</v>
      </c>
    </row>
    <row r="6" spans="4:6" ht="12.75">
      <c r="D6" s="36" t="s">
        <v>68</v>
      </c>
      <c r="E6" s="36"/>
      <c r="F6" s="36" t="s">
        <v>69</v>
      </c>
    </row>
    <row r="7" spans="4:6" ht="12.75">
      <c r="D7" s="14" t="s">
        <v>16</v>
      </c>
      <c r="E7" s="36"/>
      <c r="F7" s="35" t="s">
        <v>70</v>
      </c>
    </row>
    <row r="8" spans="4:6" ht="12.75">
      <c r="D8" s="36" t="s">
        <v>18</v>
      </c>
      <c r="E8" s="36"/>
      <c r="F8" s="36" t="s">
        <v>18</v>
      </c>
    </row>
    <row r="10" spans="1:6" ht="12.75">
      <c r="A10" s="37" t="s">
        <v>71</v>
      </c>
      <c r="B10" s="30" t="s">
        <v>72</v>
      </c>
      <c r="D10" s="31">
        <f>'[1] BS'!W8</f>
        <v>498105.19381132076</v>
      </c>
      <c r="F10" s="31">
        <v>502033</v>
      </c>
    </row>
    <row r="11" spans="1:6" ht="12.75">
      <c r="A11" s="37" t="s">
        <v>73</v>
      </c>
      <c r="B11" s="30" t="s">
        <v>74</v>
      </c>
      <c r="D11" s="31">
        <f>'[1] BS'!W17</f>
        <v>337651.498</v>
      </c>
      <c r="F11" s="31">
        <f>337480-76</f>
        <v>337404</v>
      </c>
    </row>
    <row r="12" spans="1:6" ht="12.75">
      <c r="A12" s="37" t="s">
        <v>75</v>
      </c>
      <c r="B12" s="30" t="s">
        <v>76</v>
      </c>
      <c r="D12" s="31">
        <v>0</v>
      </c>
      <c r="F12" s="31">
        <v>0</v>
      </c>
    </row>
    <row r="13" spans="1:6" ht="12.75">
      <c r="A13" s="37" t="s">
        <v>77</v>
      </c>
      <c r="B13" s="38" t="s">
        <v>78</v>
      </c>
      <c r="D13" s="31">
        <f>'[1] BS'!W19</f>
        <v>76</v>
      </c>
      <c r="F13" s="31">
        <v>76</v>
      </c>
    </row>
    <row r="14" spans="1:6" ht="12.75">
      <c r="A14" s="37">
        <v>5</v>
      </c>
      <c r="B14" s="38" t="s">
        <v>79</v>
      </c>
      <c r="D14" s="39">
        <v>0</v>
      </c>
      <c r="F14" s="31">
        <v>0</v>
      </c>
    </row>
    <row r="15" spans="1:6" ht="12.75">
      <c r="A15" s="37">
        <v>6</v>
      </c>
      <c r="B15" s="38" t="s">
        <v>80</v>
      </c>
      <c r="D15" s="31">
        <v>0</v>
      </c>
      <c r="F15" s="31">
        <v>0</v>
      </c>
    </row>
    <row r="16" spans="1:6" ht="12.75">
      <c r="A16" s="37">
        <v>7</v>
      </c>
      <c r="B16" s="30" t="s">
        <v>81</v>
      </c>
      <c r="D16" s="31">
        <f>'[1] BS'!W22</f>
        <v>52188</v>
      </c>
      <c r="F16" s="31">
        <v>52814</v>
      </c>
    </row>
    <row r="18" spans="1:2" ht="12.75">
      <c r="A18" s="37">
        <v>8</v>
      </c>
      <c r="B18" s="32" t="s">
        <v>82</v>
      </c>
    </row>
    <row r="19" spans="3:6" ht="12.75">
      <c r="C19" s="30" t="s">
        <v>83</v>
      </c>
      <c r="D19" s="40">
        <f>+'[1] BS'!W43</f>
        <v>87636.38154716982</v>
      </c>
      <c r="F19" s="40">
        <v>88381</v>
      </c>
    </row>
    <row r="20" spans="3:6" ht="12.75">
      <c r="C20" s="30" t="s">
        <v>84</v>
      </c>
      <c r="D20" s="41">
        <f>'[1] BS'!W46+'[1] BS'!W13</f>
        <v>70736.95162264151</v>
      </c>
      <c r="F20" s="41">
        <v>59024</v>
      </c>
    </row>
    <row r="21" spans="3:6" ht="12.75">
      <c r="C21" s="30" t="s">
        <v>85</v>
      </c>
      <c r="D21" s="41">
        <f>'[1] BS'!W53+'[1] BS'!W54+'[1] BS'!W55</f>
        <v>1172.223</v>
      </c>
      <c r="F21" s="41">
        <v>4003</v>
      </c>
    </row>
    <row r="22" spans="3:6" ht="12.75">
      <c r="C22" s="30" t="s">
        <v>86</v>
      </c>
      <c r="D22" s="41">
        <f>'[1] BS'!W56+'[1] BS'!W57</f>
        <v>16568.351037735847</v>
      </c>
      <c r="F22" s="41">
        <v>12591</v>
      </c>
    </row>
    <row r="23" spans="3:6" ht="12.75">
      <c r="C23" s="30" t="s">
        <v>87</v>
      </c>
      <c r="D23" s="41">
        <f>+'[1] BS'!W36</f>
        <v>32797</v>
      </c>
      <c r="F23" s="41">
        <v>33239</v>
      </c>
    </row>
    <row r="24" spans="3:6" ht="12.75">
      <c r="C24" s="38" t="s">
        <v>88</v>
      </c>
      <c r="D24" s="42">
        <f>'[1] BS'!W48+'[1] BS'!W50</f>
        <v>30508.784339622645</v>
      </c>
      <c r="F24" s="42">
        <v>32130</v>
      </c>
    </row>
    <row r="25" spans="4:6" ht="12.75">
      <c r="D25" s="43">
        <f>SUM(D19:D24)-1</f>
        <v>239418.69154716984</v>
      </c>
      <c r="F25" s="43">
        <f>SUM(F19:F24)</f>
        <v>229368</v>
      </c>
    </row>
    <row r="26" spans="1:2" ht="12.75">
      <c r="A26" s="37">
        <v>9</v>
      </c>
      <c r="B26" s="32" t="s">
        <v>89</v>
      </c>
    </row>
    <row r="27" spans="3:6" ht="12.75">
      <c r="C27" s="30" t="s">
        <v>90</v>
      </c>
      <c r="D27" s="40">
        <f>'[1] BS'!W66</f>
        <v>-81913.70135849057</v>
      </c>
      <c r="F27" s="40">
        <v>-79901</v>
      </c>
    </row>
    <row r="28" spans="3:6" ht="12.75">
      <c r="C28" s="30" t="s">
        <v>91</v>
      </c>
      <c r="D28" s="41">
        <f>'[1] BS'!W68+'[1] BS'!W84+'[1] BS'!W85+'[1] BS'!W70+'[1] BS'!W71</f>
        <v>-423739.0732641509</v>
      </c>
      <c r="F28" s="41">
        <v>-414282</v>
      </c>
    </row>
    <row r="29" spans="3:6" ht="12.75">
      <c r="C29" s="30" t="s">
        <v>92</v>
      </c>
      <c r="D29" s="41">
        <f>'[1] BS'!W83+'[1] BS'!W79</f>
        <v>-637519.8697358491</v>
      </c>
      <c r="F29" s="41">
        <v>-627790</v>
      </c>
    </row>
    <row r="30" spans="3:6" ht="12.75">
      <c r="C30" s="30" t="s">
        <v>93</v>
      </c>
      <c r="D30" s="41">
        <f>+'[1] BS'!W86</f>
        <v>-15779.655188679244</v>
      </c>
      <c r="F30" s="41">
        <v>-15590</v>
      </c>
    </row>
    <row r="31" spans="3:6" ht="12.75" hidden="1">
      <c r="C31" s="30" t="s">
        <v>94</v>
      </c>
      <c r="D31" s="41">
        <v>0</v>
      </c>
      <c r="F31" s="41">
        <v>0</v>
      </c>
    </row>
    <row r="32" spans="3:6" ht="12.75" hidden="1">
      <c r="C32" s="30" t="s">
        <v>95</v>
      </c>
      <c r="D32" s="42">
        <v>0</v>
      </c>
      <c r="F32" s="42">
        <v>0</v>
      </c>
    </row>
    <row r="33" spans="4:6" ht="12.75">
      <c r="D33" s="43">
        <f>SUM(D27:D32)-1</f>
        <v>-1158953.2995471698</v>
      </c>
      <c r="F33" s="43">
        <f>SUM(F27:F32)</f>
        <v>-1137563</v>
      </c>
    </row>
    <row r="34" spans="4:6" ht="12.75">
      <c r="D34" s="44"/>
      <c r="F34" s="44"/>
    </row>
    <row r="35" spans="1:6" ht="12.75">
      <c r="A35" s="37">
        <v>10</v>
      </c>
      <c r="B35" s="45" t="s">
        <v>96</v>
      </c>
      <c r="D35" s="44">
        <f>+D33+D25+1</f>
        <v>-919533.608</v>
      </c>
      <c r="F35" s="44">
        <f>+F33+F25</f>
        <v>-908195</v>
      </c>
    </row>
    <row r="36" spans="4:6" ht="13.5" thickBot="1">
      <c r="D36" s="46">
        <f>D10+D11+D13+D16+D35-1</f>
        <v>-31513.91618867917</v>
      </c>
      <c r="F36" s="46">
        <f>+F35+SUM(F10:F16)</f>
        <v>-15868</v>
      </c>
    </row>
    <row r="37" ht="13.5" thickTop="1"/>
    <row r="39" spans="1:2" ht="12.75">
      <c r="A39" s="37">
        <v>11</v>
      </c>
      <c r="B39" s="32" t="s">
        <v>97</v>
      </c>
    </row>
    <row r="40" spans="2:6" ht="12.75">
      <c r="B40" s="30" t="s">
        <v>98</v>
      </c>
      <c r="D40" s="31">
        <f>-'[1] BS'!$W$91+1</f>
        <v>392683.0730899999</v>
      </c>
      <c r="F40" s="31">
        <v>392683</v>
      </c>
    </row>
    <row r="41" ht="12.75">
      <c r="B41" s="30" t="s">
        <v>99</v>
      </c>
    </row>
    <row r="42" spans="3:6" ht="12.75">
      <c r="C42" s="30" t="s">
        <v>100</v>
      </c>
      <c r="D42" s="31">
        <f>-'[1] BS'!$W$93-1</f>
        <v>134487.604</v>
      </c>
      <c r="F42" s="31">
        <v>134488</v>
      </c>
    </row>
    <row r="43" spans="3:6" ht="12.75">
      <c r="C43" s="30" t="s">
        <v>101</v>
      </c>
      <c r="D43" s="31">
        <f>-'[1] BS'!W94-2</f>
        <v>105036.77419999999</v>
      </c>
      <c r="F43" s="31">
        <v>105037</v>
      </c>
    </row>
    <row r="44" spans="3:6" ht="12.75">
      <c r="C44" s="30" t="s">
        <v>102</v>
      </c>
      <c r="D44" s="31">
        <v>0</v>
      </c>
      <c r="F44" s="31">
        <v>0</v>
      </c>
    </row>
    <row r="45" spans="3:6" ht="12.75">
      <c r="C45" s="30" t="s">
        <v>103</v>
      </c>
      <c r="D45" s="31">
        <v>0</v>
      </c>
      <c r="F45" s="31">
        <v>0</v>
      </c>
    </row>
    <row r="46" spans="3:6" ht="12.75">
      <c r="C46" s="38" t="s">
        <v>104</v>
      </c>
      <c r="D46" s="31">
        <f>-'[1] BS'!W95-'[1] BS'!W97-'[1] BS'!W98-2</f>
        <v>11356.068</v>
      </c>
      <c r="F46" s="31">
        <v>11356</v>
      </c>
    </row>
    <row r="47" spans="3:6" ht="12.75">
      <c r="C47" s="38" t="s">
        <v>105</v>
      </c>
      <c r="D47" s="10">
        <f>F47+'[1]pl'!I61</f>
        <v>-777883.5071320755</v>
      </c>
      <c r="E47" s="30"/>
      <c r="F47" s="10">
        <v>-765589</v>
      </c>
    </row>
    <row r="49" spans="4:6" ht="12.75">
      <c r="D49" s="47">
        <f>SUM(D40:D47)</f>
        <v>-134319.98784207564</v>
      </c>
      <c r="F49" s="47">
        <f>SUM(F40:F48)</f>
        <v>-122025</v>
      </c>
    </row>
    <row r="50" spans="1:6" ht="12.75">
      <c r="A50" s="37">
        <v>12</v>
      </c>
      <c r="B50" s="30" t="s">
        <v>106</v>
      </c>
      <c r="D50" s="31">
        <f>-'[1] BS'!W117</f>
        <v>84001.7736981132</v>
      </c>
      <c r="F50" s="31">
        <v>87100</v>
      </c>
    </row>
    <row r="51" spans="1:6" ht="12.75">
      <c r="A51" s="37">
        <v>13</v>
      </c>
      <c r="B51" s="30" t="s">
        <v>107</v>
      </c>
      <c r="D51" s="31">
        <v>0</v>
      </c>
      <c r="F51" s="31">
        <v>0</v>
      </c>
    </row>
    <row r="52" spans="1:6" ht="12.75">
      <c r="A52" s="37">
        <v>14</v>
      </c>
      <c r="B52" s="30" t="s">
        <v>108</v>
      </c>
      <c r="D52" s="31">
        <f>-'[1] BS'!W104-'[1] BS'!W112+2</f>
        <v>5487.377358490566</v>
      </c>
      <c r="F52" s="31">
        <v>5740</v>
      </c>
    </row>
    <row r="53" spans="1:6" ht="12.75">
      <c r="A53" s="37">
        <v>15</v>
      </c>
      <c r="B53" s="38" t="s">
        <v>109</v>
      </c>
      <c r="D53" s="31">
        <f>-'[1] BS'!W116</f>
        <v>13317.000283018868</v>
      </c>
      <c r="F53" s="31">
        <v>13317</v>
      </c>
    </row>
    <row r="54" spans="4:6" ht="13.5" thickBot="1">
      <c r="D54" s="46">
        <f>SUM(D49:D53)</f>
        <v>-31513.836502453007</v>
      </c>
      <c r="F54" s="46">
        <f>SUM(F49:F53)</f>
        <v>-15868</v>
      </c>
    </row>
    <row r="55" ht="13.5" thickTop="1"/>
    <row r="56" spans="1:6" ht="12.75">
      <c r="A56" s="37">
        <v>16</v>
      </c>
      <c r="B56" s="30" t="s">
        <v>110</v>
      </c>
      <c r="D56" s="48">
        <f>+D49/D40</f>
        <v>-0.34205698449164</v>
      </c>
      <c r="E56" s="49"/>
      <c r="F56" s="50">
        <f>+F49/F40</f>
        <v>-0.3107468365068006</v>
      </c>
    </row>
    <row r="57" spans="1:6" ht="16.5" customHeight="1">
      <c r="A57" s="37"/>
      <c r="D57" s="48"/>
      <c r="E57" s="49"/>
      <c r="F57" s="50"/>
    </row>
    <row r="58" spans="4:6" s="51" customFormat="1" ht="12.75">
      <c r="D58" s="44"/>
      <c r="E58" s="44"/>
      <c r="F58" s="44"/>
    </row>
    <row r="59" spans="2:6" s="51" customFormat="1" ht="12.75">
      <c r="B59" s="52"/>
      <c r="D59" s="44"/>
      <c r="E59" s="44"/>
      <c r="F59" s="44"/>
    </row>
    <row r="60" spans="4:6" s="51" customFormat="1" ht="12.75">
      <c r="D60" s="44"/>
      <c r="E60" s="44"/>
      <c r="F60" s="44"/>
    </row>
    <row r="61" spans="4:6" s="51" customFormat="1" ht="12.75">
      <c r="D61" s="44"/>
      <c r="E61" s="44"/>
      <c r="F61" s="44"/>
    </row>
    <row r="62" spans="1:6" s="51" customFormat="1" ht="12.75">
      <c r="A62" s="52"/>
      <c r="B62" s="52"/>
      <c r="D62" s="44"/>
      <c r="E62" s="44"/>
      <c r="F62" s="44"/>
    </row>
    <row r="63" spans="4:6" s="51" customFormat="1" ht="12.75">
      <c r="D63" s="44"/>
      <c r="E63" s="44"/>
      <c r="F63" s="44"/>
    </row>
    <row r="64" spans="4:6" s="51" customFormat="1" ht="12.75">
      <c r="D64" s="44"/>
      <c r="E64" s="44"/>
      <c r="F64" s="44"/>
    </row>
    <row r="65" spans="2:6" s="51" customFormat="1" ht="12.75">
      <c r="B65" s="52"/>
      <c r="D65" s="44"/>
      <c r="E65" s="44"/>
      <c r="F65" s="44"/>
    </row>
    <row r="66" spans="2:6" s="51" customFormat="1" ht="12.75">
      <c r="B66" s="52"/>
      <c r="C66" s="52"/>
      <c r="D66" s="44"/>
      <c r="E66" s="44"/>
      <c r="F66" s="44"/>
    </row>
    <row r="67" spans="4:6" s="51" customFormat="1" ht="12.75">
      <c r="D67" s="44"/>
      <c r="E67" s="44"/>
      <c r="F67" s="44"/>
    </row>
    <row r="68" spans="4:6" s="51" customFormat="1" ht="12.75">
      <c r="D68" s="44"/>
      <c r="E68" s="44"/>
      <c r="F68" s="44"/>
    </row>
    <row r="69" spans="2:6" s="51" customFormat="1" ht="12.75">
      <c r="B69" s="52"/>
      <c r="C69" s="52"/>
      <c r="D69" s="44"/>
      <c r="E69" s="44"/>
      <c r="F69" s="44"/>
    </row>
    <row r="70" spans="4:6" s="51" customFormat="1" ht="12.75">
      <c r="D70" s="44"/>
      <c r="E70" s="44"/>
      <c r="F70" s="44"/>
    </row>
    <row r="71" spans="2:6" s="51" customFormat="1" ht="12.75">
      <c r="B71" s="52"/>
      <c r="D71" s="44"/>
      <c r="E71" s="44"/>
      <c r="F71" s="44"/>
    </row>
    <row r="72" spans="4:6" s="51" customFormat="1" ht="12.75">
      <c r="D72" s="44"/>
      <c r="E72" s="44"/>
      <c r="F72" s="44"/>
    </row>
    <row r="73" spans="4:6" s="51" customFormat="1" ht="12.75">
      <c r="D73" s="44"/>
      <c r="E73" s="44"/>
      <c r="F73" s="44"/>
    </row>
    <row r="74" spans="1:6" s="51" customFormat="1" ht="12.75">
      <c r="A74" s="52"/>
      <c r="B74" s="52"/>
      <c r="D74" s="44"/>
      <c r="E74" s="44"/>
      <c r="F74" s="44"/>
    </row>
    <row r="75" spans="2:6" s="51" customFormat="1" ht="12.75">
      <c r="B75" s="52"/>
      <c r="C75" s="52"/>
      <c r="D75" s="53"/>
      <c r="E75" s="44"/>
      <c r="F75" s="44"/>
    </row>
    <row r="76" spans="2:6" s="51" customFormat="1" ht="12.75">
      <c r="B76" s="52"/>
      <c r="D76" s="53"/>
      <c r="E76" s="44"/>
      <c r="F76" s="44"/>
    </row>
    <row r="77" spans="2:6" s="51" customFormat="1" ht="12.75">
      <c r="B77" s="52"/>
      <c r="D77" s="44"/>
      <c r="E77" s="44"/>
      <c r="F77" s="44"/>
    </row>
    <row r="78" spans="4:6" s="51" customFormat="1" ht="12.75">
      <c r="D78" s="53"/>
      <c r="E78" s="44"/>
      <c r="F78" s="44"/>
    </row>
    <row r="79" spans="4:6" s="51" customFormat="1" ht="12.75">
      <c r="D79" s="44"/>
      <c r="E79" s="44"/>
      <c r="F79" s="44"/>
    </row>
    <row r="80" spans="1:6" s="51" customFormat="1" ht="12.75">
      <c r="A80" s="52"/>
      <c r="D80" s="44"/>
      <c r="E80" s="44"/>
      <c r="F80" s="44"/>
    </row>
    <row r="81" spans="4:6" s="51" customFormat="1" ht="12.75">
      <c r="D81" s="44"/>
      <c r="E81" s="44"/>
      <c r="F81" s="44"/>
    </row>
    <row r="82" spans="4:6" s="51" customFormat="1" ht="12.75">
      <c r="D82" s="44"/>
      <c r="E82" s="44"/>
      <c r="F82" s="44"/>
    </row>
    <row r="83" spans="4:6" s="51" customFormat="1" ht="12.75">
      <c r="D83" s="44"/>
      <c r="E83" s="44"/>
      <c r="F83" s="44"/>
    </row>
    <row r="84" spans="4:6" s="51" customFormat="1" ht="12.75">
      <c r="D84" s="44"/>
      <c r="E84" s="44"/>
      <c r="F84" s="44"/>
    </row>
    <row r="85" spans="4:6" s="51" customFormat="1" ht="12.75">
      <c r="D85" s="44"/>
      <c r="E85" s="44"/>
      <c r="F85" s="44"/>
    </row>
    <row r="86" spans="4:6" s="51" customFormat="1" ht="12.75">
      <c r="D86" s="44"/>
      <c r="E86" s="44"/>
      <c r="F86" s="44"/>
    </row>
    <row r="87" spans="4:6" s="51" customFormat="1" ht="12.75">
      <c r="D87" s="44"/>
      <c r="E87" s="44"/>
      <c r="F87" s="44"/>
    </row>
    <row r="88" spans="4:6" s="51" customFormat="1" ht="12.75">
      <c r="D88" s="44"/>
      <c r="E88" s="44"/>
      <c r="F88" s="44"/>
    </row>
    <row r="89" spans="4:6" s="51" customFormat="1" ht="12.75">
      <c r="D89" s="44"/>
      <c r="E89" s="44"/>
      <c r="F89" s="44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tabSelected="1" workbookViewId="0" topLeftCell="A1">
      <selection activeCell="D8" sqref="D8"/>
    </sheetView>
  </sheetViews>
  <sheetFormatPr defaultColWidth="9.140625" defaultRowHeight="12.75"/>
  <cols>
    <col min="1" max="1" width="4.28125" style="30" customWidth="1"/>
    <col min="2" max="2" width="2.8515625" style="30" customWidth="1"/>
    <col min="3" max="3" width="19.8515625" style="30" customWidth="1"/>
    <col min="4" max="5" width="12.28125" style="30" customWidth="1"/>
    <col min="6" max="6" width="13.421875" style="30" customWidth="1"/>
    <col min="7" max="7" width="12.28125" style="30" customWidth="1"/>
    <col min="8" max="8" width="19.57421875" style="30" customWidth="1"/>
    <col min="9" max="9" width="7.7109375" style="30" customWidth="1"/>
    <col min="10" max="10" width="9.140625" style="30" customWidth="1"/>
    <col min="11" max="11" width="9.7109375" style="30" customWidth="1"/>
    <col min="12" max="12" width="8.7109375" style="30" customWidth="1"/>
    <col min="13" max="16384" width="9.140625" style="30" customWidth="1"/>
  </cols>
  <sheetData>
    <row r="1" ht="12.75">
      <c r="A1" s="29" t="s">
        <v>64</v>
      </c>
    </row>
    <row r="2" ht="12.75">
      <c r="A2" s="54" t="s">
        <v>112</v>
      </c>
    </row>
    <row r="4" spans="1:2" ht="12.75">
      <c r="A4" s="37" t="s">
        <v>71</v>
      </c>
      <c r="B4" s="34" t="s">
        <v>113</v>
      </c>
    </row>
    <row r="5" ht="12.75">
      <c r="B5" s="30" t="s">
        <v>114</v>
      </c>
    </row>
    <row r="6" ht="12.75">
      <c r="B6" s="37" t="s">
        <v>115</v>
      </c>
    </row>
    <row r="8" spans="1:2" ht="12.75">
      <c r="A8" s="37" t="s">
        <v>73</v>
      </c>
      <c r="B8" s="34" t="s">
        <v>116</v>
      </c>
    </row>
    <row r="9" spans="1:2" ht="12.75">
      <c r="A9" s="37"/>
      <c r="B9" s="38" t="s">
        <v>117</v>
      </c>
    </row>
    <row r="10" spans="1:2" ht="12.75">
      <c r="A10" s="37"/>
      <c r="B10" s="37" t="s">
        <v>118</v>
      </c>
    </row>
    <row r="11" spans="1:2" ht="12.75">
      <c r="A11" s="37"/>
      <c r="B11" s="37"/>
    </row>
    <row r="12" spans="1:2" ht="12.75">
      <c r="A12" s="37" t="s">
        <v>75</v>
      </c>
      <c r="B12" s="34" t="s">
        <v>119</v>
      </c>
    </row>
    <row r="13" spans="1:2" ht="12.75">
      <c r="A13" s="37"/>
      <c r="B13" s="37" t="s">
        <v>120</v>
      </c>
    </row>
    <row r="15" spans="1:2" ht="12.75">
      <c r="A15" s="37" t="s">
        <v>77</v>
      </c>
      <c r="B15" s="34" t="s">
        <v>40</v>
      </c>
    </row>
    <row r="16" spans="1:2" ht="12.75">
      <c r="A16" s="37"/>
      <c r="B16" s="38" t="s">
        <v>121</v>
      </c>
    </row>
    <row r="17" ht="12.75">
      <c r="B17" s="30" t="s">
        <v>122</v>
      </c>
    </row>
    <row r="18" ht="12.75">
      <c r="B18" s="30" t="s">
        <v>123</v>
      </c>
    </row>
    <row r="20" spans="1:2" ht="12.75">
      <c r="A20" s="37">
        <v>5</v>
      </c>
      <c r="B20" s="34" t="s">
        <v>124</v>
      </c>
    </row>
    <row r="21" spans="1:2" ht="12.75">
      <c r="A21" s="37"/>
      <c r="B21" s="37" t="s">
        <v>125</v>
      </c>
    </row>
    <row r="23" spans="1:2" ht="12.75">
      <c r="A23" s="37">
        <v>6</v>
      </c>
      <c r="B23" s="34" t="s">
        <v>126</v>
      </c>
    </row>
    <row r="24" spans="1:2" ht="12.75">
      <c r="A24" s="37"/>
      <c r="B24" s="37" t="s">
        <v>127</v>
      </c>
    </row>
    <row r="25" spans="1:8" ht="12.75">
      <c r="A25" s="37"/>
      <c r="F25" s="55"/>
      <c r="G25"/>
      <c r="H25"/>
    </row>
    <row r="26" spans="1:8" ht="12.75">
      <c r="A26" s="37"/>
      <c r="F26" s="1" t="s">
        <v>128</v>
      </c>
      <c r="G26"/>
      <c r="H26"/>
    </row>
    <row r="27" spans="1:8" ht="12.75">
      <c r="A27" s="37"/>
      <c r="B27" s="37"/>
      <c r="E27" s="56" t="s">
        <v>129</v>
      </c>
      <c r="F27" s="56" t="s">
        <v>130</v>
      </c>
      <c r="G27"/>
      <c r="H27"/>
    </row>
    <row r="28" spans="1:8" ht="12.75">
      <c r="A28" s="37"/>
      <c r="B28" s="37"/>
      <c r="E28" s="57" t="s">
        <v>18</v>
      </c>
      <c r="F28" s="57" t="s">
        <v>18</v>
      </c>
      <c r="G28"/>
      <c r="H28"/>
    </row>
    <row r="29" spans="1:8" ht="12.75">
      <c r="A29" s="37"/>
      <c r="B29" s="37" t="s">
        <v>20</v>
      </c>
      <c r="C29" s="30" t="s">
        <v>131</v>
      </c>
      <c r="G29"/>
      <c r="H29"/>
    </row>
    <row r="30" spans="1:8" ht="12.75">
      <c r="A30" s="37"/>
      <c r="B30" s="37"/>
      <c r="E30" s="58"/>
      <c r="F30" s="55"/>
      <c r="G30"/>
      <c r="H30"/>
    </row>
    <row r="31" spans="1:8" ht="12.75">
      <c r="A31" s="37"/>
      <c r="B31"/>
      <c r="C31" s="30" t="s">
        <v>132</v>
      </c>
      <c r="E31" s="59" t="s">
        <v>111</v>
      </c>
      <c r="F31" s="60" t="s">
        <v>111</v>
      </c>
      <c r="G31"/>
      <c r="H31"/>
    </row>
    <row r="32" spans="1:8" ht="12.75">
      <c r="A32" s="37"/>
      <c r="C32" s="30" t="s">
        <v>133</v>
      </c>
      <c r="E32" s="61">
        <v>3</v>
      </c>
      <c r="F32" s="61">
        <f>2530/1000</f>
        <v>2.53</v>
      </c>
      <c r="G32" t="s">
        <v>134</v>
      </c>
      <c r="H32"/>
    </row>
    <row r="33" spans="1:8" ht="12.75">
      <c r="A33" s="37"/>
      <c r="C33" s="37" t="s">
        <v>135</v>
      </c>
      <c r="E33" s="61">
        <v>1</v>
      </c>
      <c r="F33" s="28">
        <f>(2530-1551)/1000</f>
        <v>0.979</v>
      </c>
      <c r="G33"/>
      <c r="H33"/>
    </row>
    <row r="34" spans="1:8" ht="12.75">
      <c r="A34" s="37"/>
      <c r="F34" s="55"/>
      <c r="G34"/>
      <c r="H34"/>
    </row>
    <row r="35" spans="1:8" ht="12.75">
      <c r="A35" s="37"/>
      <c r="B35" s="37" t="s">
        <v>22</v>
      </c>
      <c r="C35" s="37" t="s">
        <v>136</v>
      </c>
      <c r="F35" s="55"/>
      <c r="G35"/>
      <c r="H35"/>
    </row>
    <row r="36" spans="1:8" ht="12.75">
      <c r="A36" s="37"/>
      <c r="B36" s="37"/>
      <c r="F36" s="55"/>
      <c r="G36"/>
      <c r="H36"/>
    </row>
    <row r="37" spans="1:8" ht="12.75">
      <c r="A37" s="37"/>
      <c r="B37"/>
      <c r="C37" s="30" t="s">
        <v>137</v>
      </c>
      <c r="F37" s="62" t="s">
        <v>111</v>
      </c>
      <c r="G37"/>
      <c r="H37"/>
    </row>
    <row r="38" spans="1:8" ht="12.75">
      <c r="A38" s="37"/>
      <c r="C38" s="30" t="s">
        <v>138</v>
      </c>
      <c r="F38" s="28"/>
      <c r="G38"/>
      <c r="H38"/>
    </row>
    <row r="39" spans="1:8" ht="12.75">
      <c r="A39" s="37"/>
      <c r="C39" s="37" t="s">
        <v>139</v>
      </c>
      <c r="F39" s="62" t="s">
        <v>111</v>
      </c>
      <c r="G39"/>
      <c r="H39"/>
    </row>
    <row r="40" spans="1:8" ht="12.75">
      <c r="A40" s="37"/>
      <c r="C40" s="30" t="s">
        <v>140</v>
      </c>
      <c r="F40" s="28"/>
      <c r="G40"/>
      <c r="H40"/>
    </row>
    <row r="41" spans="3:8" ht="12.75">
      <c r="C41" s="37" t="s">
        <v>141</v>
      </c>
      <c r="F41" s="62" t="s">
        <v>111</v>
      </c>
      <c r="G41"/>
      <c r="H41"/>
    </row>
    <row r="43" spans="1:2" ht="12.75">
      <c r="A43" s="37">
        <v>7</v>
      </c>
      <c r="B43" s="63" t="s">
        <v>142</v>
      </c>
    </row>
    <row r="44" spans="1:2" ht="12.75">
      <c r="A44" s="37"/>
      <c r="B44" s="37" t="s">
        <v>143</v>
      </c>
    </row>
    <row r="46" spans="1:2" ht="12.75">
      <c r="A46" s="37">
        <v>8</v>
      </c>
      <c r="B46" s="34" t="s">
        <v>144</v>
      </c>
    </row>
    <row r="47" spans="1:2" ht="12.75">
      <c r="A47" s="37"/>
      <c r="B47" s="38" t="s">
        <v>145</v>
      </c>
    </row>
    <row r="48" spans="1:2" ht="12.75">
      <c r="A48" s="37"/>
      <c r="B48" s="38" t="s">
        <v>146</v>
      </c>
    </row>
    <row r="49" spans="1:3" ht="12.75">
      <c r="A49" s="37"/>
      <c r="B49" s="38" t="s">
        <v>147</v>
      </c>
      <c r="C49" s="37"/>
    </row>
    <row r="50" spans="1:3" ht="12.75">
      <c r="A50" s="37"/>
      <c r="B50" s="38" t="s">
        <v>148</v>
      </c>
      <c r="C50" s="37"/>
    </row>
    <row r="51" spans="1:2" ht="12.75">
      <c r="A51" s="37"/>
      <c r="B51" s="38" t="s">
        <v>149</v>
      </c>
    </row>
    <row r="52" spans="1:2" ht="12.75">
      <c r="A52" s="37"/>
      <c r="B52" s="37"/>
    </row>
    <row r="53" spans="1:2" ht="12.75">
      <c r="A53" s="37">
        <v>9</v>
      </c>
      <c r="B53" s="34" t="s">
        <v>150</v>
      </c>
    </row>
    <row r="54" spans="1:2" ht="12.75">
      <c r="A54" s="37"/>
      <c r="B54" s="37" t="s">
        <v>151</v>
      </c>
    </row>
    <row r="55" spans="1:2" ht="12.75">
      <c r="A55" s="37"/>
      <c r="B55" s="37" t="s">
        <v>152</v>
      </c>
    </row>
    <row r="56" spans="1:2" ht="12.75">
      <c r="A56" s="37"/>
      <c r="B56"/>
    </row>
    <row r="57" spans="1:2" ht="12.75">
      <c r="A57" s="37">
        <v>10</v>
      </c>
      <c r="B57" s="34" t="s">
        <v>153</v>
      </c>
    </row>
    <row r="58" spans="1:2" ht="12.75">
      <c r="A58" s="37"/>
      <c r="B58" s="37" t="s">
        <v>154</v>
      </c>
    </row>
    <row r="60" spans="5:6" ht="12.75">
      <c r="E60"/>
      <c r="F60" s="56" t="s">
        <v>18</v>
      </c>
    </row>
    <row r="61" spans="2:6" ht="12.75">
      <c r="B61" s="64" t="s">
        <v>155</v>
      </c>
      <c r="E61"/>
      <c r="F61"/>
    </row>
    <row r="62" spans="2:7" ht="12.75">
      <c r="B62" s="65"/>
      <c r="E62"/>
      <c r="G62"/>
    </row>
    <row r="63" spans="1:6" ht="12.75">
      <c r="A63" s="30" t="s">
        <v>156</v>
      </c>
      <c r="B63" s="37" t="s">
        <v>157</v>
      </c>
      <c r="E63"/>
      <c r="F63" s="66">
        <f>-'[1] BS'!W79</f>
        <v>605397.106735849</v>
      </c>
    </row>
    <row r="64" spans="5:6" ht="12.75">
      <c r="E64"/>
      <c r="F64" s="55"/>
    </row>
    <row r="65" spans="2:6" ht="12.75">
      <c r="B65" s="37" t="s">
        <v>158</v>
      </c>
      <c r="E65"/>
      <c r="F65" s="66">
        <f>-'[1] BS'!W83</f>
        <v>32122.763</v>
      </c>
    </row>
    <row r="66" spans="5:6" ht="13.5" thickBot="1">
      <c r="E66"/>
      <c r="F66" s="67">
        <f>SUM(F63:F65)</f>
        <v>637519.8697358491</v>
      </c>
    </row>
    <row r="67" ht="13.5" thickTop="1">
      <c r="B67" s="37" t="s">
        <v>159</v>
      </c>
    </row>
    <row r="69" spans="1:2" ht="12.75">
      <c r="A69" s="30" t="s">
        <v>156</v>
      </c>
      <c r="B69" s="37" t="s">
        <v>160</v>
      </c>
    </row>
    <row r="72" spans="1:2" ht="12.75">
      <c r="A72" s="37">
        <v>11</v>
      </c>
      <c r="B72" s="34" t="s">
        <v>161</v>
      </c>
    </row>
    <row r="73" spans="1:2" ht="12.75">
      <c r="A73" s="37"/>
      <c r="B73" s="37" t="s">
        <v>162</v>
      </c>
    </row>
    <row r="74" spans="1:2" ht="12.75">
      <c r="A74" s="37"/>
      <c r="B74" s="37" t="s">
        <v>163</v>
      </c>
    </row>
    <row r="75" spans="1:2" ht="12.75">
      <c r="A75" s="37"/>
      <c r="B75" s="38"/>
    </row>
    <row r="76" spans="1:2" ht="12.75">
      <c r="A76" s="37">
        <v>12</v>
      </c>
      <c r="B76" s="34" t="s">
        <v>164</v>
      </c>
    </row>
    <row r="77" spans="1:2" ht="12.75">
      <c r="A77" s="37"/>
      <c r="B77" s="37" t="s">
        <v>165</v>
      </c>
    </row>
    <row r="79" spans="1:2" ht="12.75">
      <c r="A79" s="37">
        <v>13</v>
      </c>
      <c r="B79" s="34" t="s">
        <v>166</v>
      </c>
    </row>
    <row r="80" spans="1:2" ht="12.75">
      <c r="A80" s="37"/>
      <c r="B80" s="37" t="s">
        <v>167</v>
      </c>
    </row>
    <row r="82" spans="1:2" ht="12.75">
      <c r="A82" s="37">
        <v>14</v>
      </c>
      <c r="B82" s="33" t="s">
        <v>168</v>
      </c>
    </row>
    <row r="83" spans="1:2" ht="12.75">
      <c r="A83" s="37"/>
      <c r="B83" s="37" t="s">
        <v>169</v>
      </c>
    </row>
    <row r="85" spans="1:7" ht="12.75">
      <c r="A85" s="65"/>
      <c r="B85" s="65"/>
      <c r="C85" s="65"/>
      <c r="D85" s="68"/>
      <c r="E85" s="69" t="s">
        <v>170</v>
      </c>
      <c r="F85" s="68" t="s">
        <v>171</v>
      </c>
      <c r="G85"/>
    </row>
    <row r="86" spans="1:7" ht="12.75">
      <c r="A86" s="65"/>
      <c r="B86" s="65"/>
      <c r="C86" s="65"/>
      <c r="D86" s="68" t="s">
        <v>21</v>
      </c>
      <c r="E86" s="68" t="s">
        <v>172</v>
      </c>
      <c r="F86" s="68" t="s">
        <v>173</v>
      </c>
      <c r="G86"/>
    </row>
    <row r="87" spans="1:7" ht="15">
      <c r="A87" s="37" t="s">
        <v>20</v>
      </c>
      <c r="B87" s="70" t="s">
        <v>174</v>
      </c>
      <c r="C87" s="65"/>
      <c r="D87" s="71" t="s">
        <v>18</v>
      </c>
      <c r="E87" s="71" t="s">
        <v>18</v>
      </c>
      <c r="F87" s="71" t="s">
        <v>18</v>
      </c>
      <c r="G87"/>
    </row>
    <row r="88" ht="12.75">
      <c r="G88"/>
    </row>
    <row r="89" spans="2:7" ht="12.75">
      <c r="B89" s="30" t="s">
        <v>175</v>
      </c>
      <c r="D89" s="10">
        <f>+ROUND('[1]sgmt'!C14/1000,0)</f>
        <v>5401</v>
      </c>
      <c r="E89" s="10">
        <f>+ROUND('[1]sgmt'!D12/1000,0)</f>
        <v>1062</v>
      </c>
      <c r="F89" s="10">
        <f>+ROUND('[1]sgmt'!E14/1000,0)</f>
        <v>115711</v>
      </c>
      <c r="G89"/>
    </row>
    <row r="90" spans="4:7" ht="12.75">
      <c r="D90" s="10"/>
      <c r="E90" s="10"/>
      <c r="F90" s="10"/>
      <c r="G90"/>
    </row>
    <row r="91" spans="2:7" ht="12.75">
      <c r="B91" s="30" t="s">
        <v>176</v>
      </c>
      <c r="D91" s="10">
        <f>+ROUND('[1]sgmt'!C21/1000,0)</f>
        <v>5327</v>
      </c>
      <c r="E91" s="10">
        <f>+ROUND('[1]sgmt'!D19/1000,0)</f>
        <v>2309</v>
      </c>
      <c r="F91" s="10">
        <f>+ROUND('[1]sgmt'!E21/1000,0)</f>
        <v>310488</v>
      </c>
      <c r="G91"/>
    </row>
    <row r="92" spans="4:7" ht="12.75">
      <c r="D92" s="10"/>
      <c r="E92" s="10"/>
      <c r="F92" s="10"/>
      <c r="G92"/>
    </row>
    <row r="93" spans="2:7" ht="12.75">
      <c r="B93" s="30" t="s">
        <v>177</v>
      </c>
      <c r="D93" s="10">
        <f>+ROUND('[1]sgmt'!C25/1000,0)</f>
        <v>45728</v>
      </c>
      <c r="E93" s="10">
        <f>+ROUND('[1]sgmt'!D25/1000,0)</f>
        <v>-3508</v>
      </c>
      <c r="F93" s="10">
        <f>+ROUND('[1]sgmt'!E25/1000,0)</f>
        <v>142800</v>
      </c>
      <c r="G93"/>
    </row>
    <row r="94" spans="4:7" ht="12.75">
      <c r="D94" s="10"/>
      <c r="E94" s="10"/>
      <c r="F94" s="10"/>
      <c r="G94"/>
    </row>
    <row r="95" spans="2:7" ht="12.75">
      <c r="B95" s="37" t="s">
        <v>178</v>
      </c>
      <c r="D95" s="10">
        <f>+ROUND('[1]sgmt'!C33/1000,0)</f>
        <v>14894</v>
      </c>
      <c r="E95" s="10">
        <f>+ROUND('[1]sgmt'!D33/1000,0)</f>
        <v>-5933</v>
      </c>
      <c r="F95" s="10">
        <f>+ROUND('[1]sgmt'!E33/1000,0)</f>
        <v>185200</v>
      </c>
      <c r="G95"/>
    </row>
    <row r="96" spans="4:7" ht="12.75">
      <c r="D96" s="10"/>
      <c r="E96" s="10"/>
      <c r="F96" s="10"/>
      <c r="G96"/>
    </row>
    <row r="97" spans="2:7" ht="12.75">
      <c r="B97" s="30" t="s">
        <v>179</v>
      </c>
      <c r="D97" s="10"/>
      <c r="E97" s="10"/>
      <c r="F97" s="10"/>
      <c r="G97"/>
    </row>
    <row r="98" spans="3:7" ht="12.75">
      <c r="C98" s="30" t="s">
        <v>180</v>
      </c>
      <c r="D98" s="10">
        <f>'[1]sgmt'!C50/1000</f>
        <v>300.375</v>
      </c>
      <c r="E98" s="10">
        <f>'[1]sgmt'!D50/1000</f>
        <v>-8490.673377358491</v>
      </c>
      <c r="F98" s="10">
        <f>'[1]sgmt'!E50/1000-1</f>
        <v>373240.06964150944</v>
      </c>
      <c r="G98"/>
    </row>
    <row r="99" spans="4:7" ht="12.75">
      <c r="D99" s="10"/>
      <c r="E99" s="10"/>
      <c r="F99" s="10"/>
      <c r="G99"/>
    </row>
    <row r="100" spans="4:7" ht="13.5" thickBot="1">
      <c r="D100" s="72">
        <f>SUM(D89:D98)</f>
        <v>71650.375</v>
      </c>
      <c r="E100" s="72">
        <f>SUM(E89:E98)</f>
        <v>-14560.673377358491</v>
      </c>
      <c r="F100" s="72">
        <f>SUM(F89:F98)</f>
        <v>1127439.0696415096</v>
      </c>
      <c r="G100"/>
    </row>
    <row r="101" spans="4:7" ht="13.5" thickTop="1">
      <c r="D101" s="16"/>
      <c r="E101" s="16"/>
      <c r="F101" s="16"/>
      <c r="G101"/>
    </row>
    <row r="102" spans="1:7" ht="12.75">
      <c r="A102" s="37" t="s">
        <v>22</v>
      </c>
      <c r="B102" s="73" t="s">
        <v>181</v>
      </c>
      <c r="D102" s="16"/>
      <c r="E102" s="16"/>
      <c r="F102" s="16"/>
      <c r="G102" s="16"/>
    </row>
    <row r="103" spans="3:7" ht="12.75">
      <c r="C103" s="70" t="s">
        <v>182</v>
      </c>
      <c r="D103" s="16"/>
      <c r="E103" s="16"/>
      <c r="F103" s="16"/>
      <c r="G103" s="16"/>
    </row>
    <row r="104" spans="4:7" ht="12.75">
      <c r="D104" s="16"/>
      <c r="E104" s="16"/>
      <c r="F104" s="16"/>
      <c r="G104" s="16"/>
    </row>
    <row r="105" spans="2:7" ht="12.75">
      <c r="B105" s="30" t="s">
        <v>183</v>
      </c>
      <c r="D105" s="16">
        <f>'[1]sgmt'!C60/1000+1</f>
        <v>25369.455</v>
      </c>
      <c r="E105" s="16">
        <f>'[1]sgmt'!D60/1000</f>
        <v>-10200.013</v>
      </c>
      <c r="F105" s="16">
        <f>'[1]sgmt'!E60/1000-1</f>
        <v>975427.199</v>
      </c>
      <c r="G105"/>
    </row>
    <row r="106" spans="2:7" ht="12.75">
      <c r="B106" s="30" t="s">
        <v>184</v>
      </c>
      <c r="D106" s="16">
        <f>+'[1]sgmt'!C62/1000</f>
        <v>46281.4504716981</v>
      </c>
      <c r="E106" s="16">
        <f>+'[1]sgmt'!D62/1000</f>
        <v>-4360.950943396226</v>
      </c>
      <c r="F106" s="16">
        <f>+ROUND(('[1]sgmt'!E25+'[1]sgmt'!E32+'[1]sgmt'!E47)/1000,0)</f>
        <v>152012</v>
      </c>
      <c r="G106"/>
    </row>
    <row r="107" spans="4:7" ht="13.5" thickBot="1">
      <c r="D107" s="72">
        <f>SUM(D105:D106)-1</f>
        <v>71649.9054716981</v>
      </c>
      <c r="E107" s="72">
        <f>SUM(E105:E106)</f>
        <v>-14560.963943396226</v>
      </c>
      <c r="F107" s="72">
        <f>SUM(F105:F106)</f>
        <v>1127439.199</v>
      </c>
      <c r="G107"/>
    </row>
    <row r="108" ht="13.5" thickTop="1"/>
    <row r="109" spans="1:2" ht="12.75">
      <c r="A109" s="37">
        <v>15</v>
      </c>
      <c r="B109" s="34" t="s">
        <v>185</v>
      </c>
    </row>
    <row r="110" spans="1:2" ht="12.75">
      <c r="A110" s="37"/>
      <c r="B110" s="30" t="s">
        <v>186</v>
      </c>
    </row>
    <row r="111" spans="1:2" ht="12.75">
      <c r="A111" s="37"/>
      <c r="B111" s="74" t="s">
        <v>187</v>
      </c>
    </row>
    <row r="112" spans="1:2" ht="12.75">
      <c r="A112" s="37"/>
      <c r="B112" s="74"/>
    </row>
    <row r="113" spans="1:2" ht="12.75">
      <c r="A113" s="37">
        <v>16</v>
      </c>
      <c r="B113" s="33" t="s">
        <v>188</v>
      </c>
    </row>
    <row r="114" ht="12.75">
      <c r="B114" s="38" t="s">
        <v>189</v>
      </c>
    </row>
    <row r="115" ht="12.75">
      <c r="B115" s="38" t="s">
        <v>190</v>
      </c>
    </row>
    <row r="116" ht="12.75">
      <c r="B116" s="38"/>
    </row>
    <row r="117" ht="12.75">
      <c r="B117" s="74" t="s">
        <v>191</v>
      </c>
    </row>
    <row r="118" ht="12.75">
      <c r="B118" s="30" t="s">
        <v>192</v>
      </c>
    </row>
    <row r="119" ht="12.75">
      <c r="B119" s="74" t="s">
        <v>193</v>
      </c>
    </row>
    <row r="120" ht="12.75">
      <c r="B120" s="74"/>
    </row>
    <row r="121" spans="1:2" ht="12.75">
      <c r="A121" s="38">
        <v>17</v>
      </c>
      <c r="B121" s="45" t="s">
        <v>194</v>
      </c>
    </row>
    <row r="122" ht="12.75">
      <c r="B122" s="38" t="s">
        <v>195</v>
      </c>
    </row>
    <row r="123" ht="12.75">
      <c r="B123" s="38"/>
    </row>
    <row r="124" spans="1:2" ht="12.75">
      <c r="A124" s="38">
        <v>18</v>
      </c>
      <c r="B124" s="34" t="s">
        <v>196</v>
      </c>
    </row>
    <row r="125" ht="12.75">
      <c r="B125" s="37" t="s">
        <v>197</v>
      </c>
    </row>
    <row r="126" ht="12.75">
      <c r="B126" s="38"/>
    </row>
    <row r="127" spans="1:2" ht="12.75">
      <c r="A127" s="37" t="s">
        <v>198</v>
      </c>
      <c r="B127" s="33" t="s">
        <v>199</v>
      </c>
    </row>
    <row r="128" spans="1:2" ht="12.75">
      <c r="A128" s="37"/>
      <c r="B128" s="64" t="s">
        <v>200</v>
      </c>
    </row>
    <row r="129" spans="1:3" ht="12.75">
      <c r="A129" s="37"/>
      <c r="B129" s="74" t="s">
        <v>201</v>
      </c>
      <c r="C129"/>
    </row>
    <row r="130" spans="1:3" ht="12.75">
      <c r="A130" s="37"/>
      <c r="B130" s="74" t="s">
        <v>202</v>
      </c>
      <c r="C130"/>
    </row>
    <row r="131" spans="2:3" ht="12.75">
      <c r="B131" s="74"/>
      <c r="C131"/>
    </row>
    <row r="132" spans="1:3" ht="12.75">
      <c r="A132" s="37" t="s">
        <v>203</v>
      </c>
      <c r="B132" s="33" t="s">
        <v>204</v>
      </c>
      <c r="C132"/>
    </row>
    <row r="133" spans="2:3" ht="12.75">
      <c r="B133" s="38" t="s">
        <v>205</v>
      </c>
      <c r="C133"/>
    </row>
    <row r="134" spans="2:3" ht="12.75">
      <c r="B134" s="37"/>
      <c r="C134"/>
    </row>
    <row r="135" spans="1:2" ht="12.75">
      <c r="A135" s="37" t="s">
        <v>206</v>
      </c>
      <c r="B135" s="34" t="s">
        <v>207</v>
      </c>
    </row>
    <row r="136" ht="12.75">
      <c r="B136" s="37" t="s">
        <v>208</v>
      </c>
    </row>
    <row r="139" ht="12.75">
      <c r="A139" s="75" t="s">
        <v>209</v>
      </c>
    </row>
    <row r="140" ht="12.75">
      <c r="A140" s="76" t="s">
        <v>0</v>
      </c>
    </row>
    <row r="141" ht="12.75">
      <c r="A141" s="75"/>
    </row>
    <row r="142" ht="12.75">
      <c r="A142" s="75"/>
    </row>
    <row r="143" ht="12.75">
      <c r="A143" s="77" t="s">
        <v>210</v>
      </c>
    </row>
    <row r="144" ht="12.75">
      <c r="A144" s="78" t="s">
        <v>211</v>
      </c>
    </row>
    <row r="145" ht="12.75">
      <c r="A145" s="75"/>
    </row>
    <row r="146" ht="12.75">
      <c r="A146" s="77" t="s">
        <v>212</v>
      </c>
    </row>
    <row r="147" ht="12.75">
      <c r="A147" s="79" t="s">
        <v>213</v>
      </c>
    </row>
  </sheetData>
  <printOptions/>
  <pageMargins left="0.75" right="0.5" top="1" bottom="1" header="0.5" footer="0.5"/>
  <pageSetup fitToHeight="3" fitToWidth="3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Olympia Industries Berhad</dc:creator>
  <cp:keywords/>
  <dc:description/>
  <cp:lastModifiedBy>Mycom Berhad</cp:lastModifiedBy>
  <cp:lastPrinted>2000-11-29T09:24:53Z</cp:lastPrinted>
  <dcterms:created xsi:type="dcterms:W3CDTF">2000-11-29T07:53:44Z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